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0" windowWidth="19440" windowHeight="5520" tabRatio="727" activeTab="5"/>
  </bookViews>
  <sheets>
    <sheet name="Данные по УК" sheetId="7" r:id="rId1"/>
    <sheet name="Данные по МКД-4" sheetId="4" r:id="rId2"/>
    <sheet name="Данные по МКД-6" sheetId="6" r:id="rId3"/>
    <sheet name="Данные по МКД-2" sheetId="2" r:id="rId4"/>
    <sheet name="Данные по МКД-1" sheetId="1" r:id="rId5"/>
    <sheet name="Данные по МКД-3" sheetId="3" r:id="rId6"/>
    <sheet name="Данные по МКД-5" sheetId="5" r:id="rId7"/>
  </sheets>
  <definedNames>
    <definedName name="_xlnm.Print_Area" localSheetId="4">'Данные по МКД-1'!$A$1:$B$38</definedName>
  </definedNames>
  <calcPr calcId="145621"/>
</workbook>
</file>

<file path=xl/calcChain.xml><?xml version="1.0" encoding="utf-8"?>
<calcChain xmlns="http://schemas.openxmlformats.org/spreadsheetml/2006/main">
  <c r="H6" i="3" l="1"/>
  <c r="H7" i="3"/>
  <c r="H8" i="3"/>
  <c r="H9" i="3"/>
  <c r="H10" i="3"/>
  <c r="H11" i="3"/>
  <c r="H12" i="3"/>
  <c r="H13" i="3"/>
  <c r="H14" i="3"/>
  <c r="H15" i="3"/>
  <c r="H5" i="3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5" i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8" i="2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8" i="6"/>
  <c r="C10" i="3"/>
  <c r="C8" i="3"/>
  <c r="C37" i="1"/>
  <c r="C35" i="1"/>
  <c r="C34" i="1"/>
  <c r="C29" i="1"/>
  <c r="B82" i="4"/>
  <c r="B80" i="4"/>
  <c r="B78" i="4"/>
  <c r="B65" i="4"/>
  <c r="B63" i="4"/>
  <c r="B61" i="4"/>
  <c r="B59" i="4"/>
  <c r="B48" i="4"/>
  <c r="B46" i="4"/>
  <c r="B44" i="4"/>
  <c r="B31" i="4"/>
  <c r="B29" i="4"/>
  <c r="B27" i="4"/>
  <c r="B25" i="4"/>
  <c r="B14" i="4"/>
  <c r="B12" i="4"/>
  <c r="B10" i="4"/>
  <c r="B8" i="4"/>
  <c r="G10" i="3"/>
  <c r="G8" i="3"/>
  <c r="G37" i="1"/>
  <c r="G35" i="1"/>
  <c r="G34" i="1"/>
  <c r="F78" i="4" l="1"/>
  <c r="F82" i="4"/>
  <c r="F65" i="4"/>
  <c r="F63" i="4"/>
  <c r="F61" i="4"/>
  <c r="F59" i="4"/>
  <c r="F48" i="4"/>
  <c r="F46" i="4"/>
  <c r="F49" i="4" s="1"/>
  <c r="F44" i="4"/>
  <c r="F31" i="4"/>
  <c r="F29" i="4"/>
  <c r="F27" i="4"/>
  <c r="F25" i="4"/>
  <c r="F14" i="4"/>
  <c r="F12" i="4"/>
  <c r="F10" i="4"/>
  <c r="F8" i="4"/>
  <c r="F10" i="3"/>
  <c r="F8" i="3"/>
  <c r="F37" i="1"/>
  <c r="F35" i="1"/>
  <c r="F34" i="1"/>
  <c r="F29" i="1"/>
  <c r="F40" i="1" s="1"/>
  <c r="F27" i="6"/>
  <c r="C40" i="1" s="1"/>
  <c r="C41" i="1" s="1"/>
  <c r="I27" i="6"/>
  <c r="J27" i="6"/>
  <c r="G40" i="1" s="1"/>
  <c r="G41" i="1" s="1"/>
  <c r="E82" i="4"/>
  <c r="E78" i="4"/>
  <c r="B66" i="4"/>
  <c r="C66" i="4"/>
  <c r="E66" i="4"/>
  <c r="E65" i="4"/>
  <c r="E63" i="4"/>
  <c r="E61" i="4"/>
  <c r="E59" i="4"/>
  <c r="E48" i="4"/>
  <c r="E46" i="4"/>
  <c r="E49" i="4" s="1"/>
  <c r="E44" i="4"/>
  <c r="E31" i="4"/>
  <c r="E29" i="4"/>
  <c r="E27" i="4"/>
  <c r="E25" i="4"/>
  <c r="E14" i="4"/>
  <c r="E12" i="4"/>
  <c r="E10" i="4"/>
  <c r="E8" i="4"/>
  <c r="D40" i="1"/>
  <c r="D41" i="1" s="1"/>
  <c r="E41" i="1"/>
  <c r="E40" i="1"/>
  <c r="E34" i="1"/>
  <c r="H27" i="6"/>
  <c r="G17" i="3"/>
  <c r="G18" i="3" s="1"/>
  <c r="C17" i="3"/>
  <c r="C18" i="3" s="1"/>
  <c r="D17" i="3"/>
  <c r="D18" i="3" s="1"/>
  <c r="E18" i="3"/>
  <c r="E17" i="3"/>
  <c r="B83" i="4"/>
  <c r="C83" i="4"/>
  <c r="E83" i="4"/>
  <c r="F83" i="4"/>
  <c r="D83" i="4"/>
  <c r="D82" i="4"/>
  <c r="D78" i="4"/>
  <c r="D59" i="4"/>
  <c r="D61" i="4" s="1"/>
  <c r="D66" i="4"/>
  <c r="D65" i="4"/>
  <c r="D63" i="4"/>
  <c r="B49" i="4"/>
  <c r="C49" i="4"/>
  <c r="D49" i="4"/>
  <c r="D48" i="4"/>
  <c r="D46" i="4"/>
  <c r="D44" i="4"/>
  <c r="B32" i="4"/>
  <c r="C32" i="4"/>
  <c r="E32" i="4"/>
  <c r="F32" i="4"/>
  <c r="D32" i="4"/>
  <c r="D31" i="4"/>
  <c r="D29" i="4"/>
  <c r="D27" i="4"/>
  <c r="D25" i="4"/>
  <c r="B15" i="4"/>
  <c r="C15" i="4"/>
  <c r="E15" i="4"/>
  <c r="F15" i="4"/>
  <c r="D15" i="4"/>
  <c r="D14" i="4"/>
  <c r="D12" i="4"/>
  <c r="D10" i="4"/>
  <c r="D8" i="4"/>
  <c r="B4" i="7"/>
  <c r="B5" i="7" s="1"/>
  <c r="D4" i="7"/>
  <c r="D5" i="7" s="1"/>
  <c r="E4" i="7"/>
  <c r="E5" i="7" s="1"/>
  <c r="C5" i="7"/>
  <c r="F4" i="7" l="1"/>
  <c r="F5" i="7" s="1"/>
  <c r="G5" i="7" s="1"/>
  <c r="F66" i="4"/>
  <c r="F41" i="1"/>
  <c r="F17" i="3"/>
  <c r="F18" i="3" s="1"/>
  <c r="D34" i="1"/>
  <c r="G27" i="1"/>
  <c r="D27" i="1"/>
  <c r="F26" i="1"/>
  <c r="D26" i="1"/>
  <c r="D25" i="1"/>
  <c r="C25" i="1"/>
  <c r="D24" i="1"/>
  <c r="F23" i="1"/>
  <c r="D23" i="1"/>
  <c r="E22" i="1"/>
  <c r="D22" i="1"/>
  <c r="D21" i="1"/>
  <c r="F20" i="1"/>
  <c r="D20" i="1"/>
  <c r="G19" i="1"/>
  <c r="F19" i="1"/>
  <c r="E19" i="1"/>
  <c r="D19" i="1"/>
  <c r="C19" i="1"/>
  <c r="G18" i="1"/>
  <c r="F18" i="1"/>
  <c r="E18" i="1"/>
  <c r="D18" i="1"/>
  <c r="C18" i="1"/>
  <c r="F17" i="1"/>
  <c r="D17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D10" i="1"/>
  <c r="D9" i="1"/>
  <c r="G26" i="2"/>
  <c r="F26" i="2"/>
  <c r="F27" i="1" s="1"/>
  <c r="E26" i="2"/>
  <c r="E27" i="1" s="1"/>
  <c r="D26" i="2"/>
  <c r="C26" i="2"/>
  <c r="C27" i="1" s="1"/>
  <c r="A26" i="2"/>
  <c r="G25" i="2"/>
  <c r="G26" i="1" s="1"/>
  <c r="F25" i="2"/>
  <c r="E25" i="2"/>
  <c r="E26" i="1" s="1"/>
  <c r="D25" i="2"/>
  <c r="C25" i="2"/>
  <c r="C26" i="1" s="1"/>
  <c r="A25" i="2"/>
  <c r="G24" i="2"/>
  <c r="G25" i="1" s="1"/>
  <c r="F24" i="2"/>
  <c r="F25" i="1" s="1"/>
  <c r="E24" i="2"/>
  <c r="E25" i="1" s="1"/>
  <c r="D24" i="2"/>
  <c r="C24" i="2"/>
  <c r="A24" i="2"/>
  <c r="G23" i="2"/>
  <c r="G24" i="1" s="1"/>
  <c r="F23" i="2"/>
  <c r="F24" i="1" s="1"/>
  <c r="E23" i="2"/>
  <c r="E24" i="1" s="1"/>
  <c r="D23" i="2"/>
  <c r="C23" i="2"/>
  <c r="C24" i="1" s="1"/>
  <c r="A23" i="2"/>
  <c r="G22" i="2"/>
  <c r="G23" i="1" s="1"/>
  <c r="F22" i="2"/>
  <c r="E22" i="2"/>
  <c r="E23" i="1" s="1"/>
  <c r="D22" i="2"/>
  <c r="C22" i="2"/>
  <c r="C23" i="1" s="1"/>
  <c r="A22" i="2"/>
  <c r="G21" i="2"/>
  <c r="G22" i="1" s="1"/>
  <c r="F21" i="2"/>
  <c r="F22" i="1" s="1"/>
  <c r="E21" i="2"/>
  <c r="D21" i="2"/>
  <c r="C21" i="2"/>
  <c r="C22" i="1" s="1"/>
  <c r="A21" i="2"/>
  <c r="G20" i="2"/>
  <c r="G21" i="1" s="1"/>
  <c r="F20" i="2"/>
  <c r="F21" i="1" s="1"/>
  <c r="E20" i="2"/>
  <c r="E21" i="1" s="1"/>
  <c r="D20" i="2"/>
  <c r="C20" i="2"/>
  <c r="C21" i="1" s="1"/>
  <c r="A20" i="2"/>
  <c r="G19" i="2"/>
  <c r="G20" i="1" s="1"/>
  <c r="F19" i="2"/>
  <c r="E19" i="2"/>
  <c r="E20" i="1" s="1"/>
  <c r="D19" i="2"/>
  <c r="C19" i="2"/>
  <c r="C20" i="1" s="1"/>
  <c r="G18" i="2"/>
  <c r="F18" i="2"/>
  <c r="E18" i="2"/>
  <c r="D18" i="2"/>
  <c r="C18" i="2"/>
  <c r="G17" i="2"/>
  <c r="F17" i="2"/>
  <c r="E17" i="2"/>
  <c r="D17" i="2"/>
  <c r="C17" i="2"/>
  <c r="G16" i="2"/>
  <c r="G17" i="1" s="1"/>
  <c r="F16" i="2"/>
  <c r="E16" i="2"/>
  <c r="E17" i="1" s="1"/>
  <c r="D16" i="2"/>
  <c r="C16" i="2"/>
  <c r="C17" i="1" s="1"/>
  <c r="G15" i="2"/>
  <c r="G16" i="1" s="1"/>
  <c r="F15" i="2"/>
  <c r="F16" i="1" s="1"/>
  <c r="E15" i="2"/>
  <c r="E16" i="1" s="1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G10" i="1" s="1"/>
  <c r="F9" i="2"/>
  <c r="F10" i="1" s="1"/>
  <c r="E9" i="2"/>
  <c r="E10" i="1" s="1"/>
  <c r="D9" i="2"/>
  <c r="C9" i="2"/>
  <c r="C10" i="1" s="1"/>
  <c r="G8" i="2"/>
  <c r="G9" i="1" s="1"/>
  <c r="F8" i="2"/>
  <c r="F9" i="1" s="1"/>
  <c r="E8" i="2"/>
  <c r="E9" i="1" s="1"/>
  <c r="D8" i="2"/>
  <c r="C8" i="2"/>
  <c r="C9" i="1" s="1"/>
  <c r="G27" i="6"/>
  <c r="G91" i="4"/>
  <c r="G90" i="4"/>
  <c r="G89" i="4"/>
  <c r="G88" i="4"/>
  <c r="F88" i="4"/>
  <c r="E88" i="4"/>
  <c r="D88" i="4"/>
  <c r="C88" i="4"/>
  <c r="B88" i="4"/>
  <c r="G87" i="4"/>
  <c r="G86" i="4"/>
  <c r="F86" i="4"/>
  <c r="E86" i="4"/>
  <c r="D86" i="4"/>
  <c r="C86" i="4"/>
  <c r="B86" i="4"/>
  <c r="G85" i="4"/>
  <c r="G84" i="4"/>
  <c r="G83" i="4"/>
  <c r="G82" i="4"/>
  <c r="C82" i="4"/>
  <c r="G81" i="4"/>
  <c r="G80" i="4"/>
  <c r="G79" i="4"/>
  <c r="G78" i="4"/>
  <c r="C78" i="4"/>
  <c r="G77" i="4"/>
  <c r="G76" i="4"/>
  <c r="G75" i="4"/>
  <c r="G74" i="4"/>
  <c r="G73" i="4"/>
  <c r="G72" i="4"/>
  <c r="G71" i="4"/>
  <c r="F71" i="4"/>
  <c r="E71" i="4"/>
  <c r="D71" i="4"/>
  <c r="C71" i="4"/>
  <c r="B71" i="4"/>
  <c r="G70" i="4"/>
  <c r="G69" i="4"/>
  <c r="F69" i="4"/>
  <c r="E69" i="4"/>
  <c r="D69" i="4"/>
  <c r="C69" i="4"/>
  <c r="B69" i="4"/>
  <c r="G68" i="4"/>
  <c r="G67" i="4"/>
  <c r="G66" i="4"/>
  <c r="G65" i="4"/>
  <c r="C65" i="4"/>
  <c r="G64" i="4"/>
  <c r="G63" i="4"/>
  <c r="C63" i="4"/>
  <c r="G62" i="4"/>
  <c r="G61" i="4"/>
  <c r="C61" i="4"/>
  <c r="G60" i="4"/>
  <c r="G59" i="4"/>
  <c r="C59" i="4"/>
  <c r="G58" i="4"/>
  <c r="G57" i="4"/>
  <c r="G56" i="4"/>
  <c r="G55" i="4"/>
  <c r="G54" i="4"/>
  <c r="F54" i="4"/>
  <c r="E54" i="4"/>
  <c r="D54" i="4"/>
  <c r="C54" i="4"/>
  <c r="B54" i="4"/>
  <c r="G53" i="4"/>
  <c r="G52" i="4"/>
  <c r="F52" i="4"/>
  <c r="E52" i="4"/>
  <c r="D52" i="4"/>
  <c r="C52" i="4"/>
  <c r="B52" i="4"/>
  <c r="G51" i="4"/>
  <c r="G50" i="4"/>
  <c r="G49" i="4"/>
  <c r="G48" i="4"/>
  <c r="C48" i="4"/>
  <c r="G47" i="4"/>
  <c r="G46" i="4"/>
  <c r="G45" i="4"/>
  <c r="G44" i="4"/>
  <c r="C44" i="4"/>
  <c r="G43" i="4"/>
  <c r="G42" i="4"/>
  <c r="G41" i="4"/>
  <c r="G40" i="4"/>
  <c r="G39" i="4"/>
  <c r="G38" i="4"/>
  <c r="G37" i="4"/>
  <c r="F37" i="4"/>
  <c r="E37" i="4"/>
  <c r="D37" i="4"/>
  <c r="C37" i="4"/>
  <c r="B37" i="4"/>
  <c r="G36" i="4"/>
  <c r="G35" i="4"/>
  <c r="F35" i="4"/>
  <c r="E35" i="4"/>
  <c r="D35" i="4"/>
  <c r="C35" i="4"/>
  <c r="B35" i="4"/>
  <c r="G34" i="4"/>
  <c r="G33" i="4"/>
  <c r="G32" i="4"/>
  <c r="G31" i="4"/>
  <c r="C31" i="4"/>
  <c r="G30" i="4"/>
  <c r="G29" i="4"/>
  <c r="C29" i="4"/>
  <c r="G28" i="4"/>
  <c r="G27" i="4"/>
  <c r="C27" i="4"/>
  <c r="G26" i="4"/>
  <c r="G25" i="4"/>
  <c r="C25" i="4"/>
  <c r="G24" i="4"/>
  <c r="G23" i="4"/>
  <c r="G22" i="4"/>
  <c r="G21" i="4"/>
  <c r="G20" i="4"/>
  <c r="F20" i="4"/>
  <c r="E20" i="4"/>
  <c r="D20" i="4"/>
  <c r="C20" i="4"/>
  <c r="B20" i="4"/>
  <c r="G19" i="4"/>
  <c r="G18" i="4"/>
  <c r="G17" i="4"/>
  <c r="G16" i="4"/>
  <c r="G15" i="4"/>
  <c r="G14" i="4"/>
  <c r="C14" i="4"/>
  <c r="G13" i="4"/>
  <c r="G12" i="4"/>
  <c r="C12" i="4"/>
  <c r="G11" i="4"/>
  <c r="G10" i="4"/>
  <c r="C10" i="4"/>
  <c r="G9" i="4"/>
  <c r="G8" i="4"/>
  <c r="C8" i="4"/>
  <c r="G15" i="7"/>
  <c r="G14" i="7"/>
  <c r="F14" i="7"/>
  <c r="E14" i="7"/>
  <c r="D14" i="7"/>
  <c r="C14" i="7"/>
  <c r="B14" i="7"/>
  <c r="G13" i="7"/>
  <c r="G12" i="7"/>
  <c r="F12" i="7"/>
  <c r="E12" i="7"/>
  <c r="D12" i="7"/>
  <c r="C12" i="7"/>
  <c r="B12" i="7"/>
  <c r="G11" i="7"/>
  <c r="F11" i="7"/>
  <c r="E11" i="7"/>
  <c r="D11" i="7"/>
  <c r="C11" i="7"/>
  <c r="B11" i="7"/>
  <c r="G10" i="7"/>
  <c r="F10" i="7"/>
  <c r="E10" i="7"/>
  <c r="D10" i="7"/>
  <c r="C10" i="7"/>
  <c r="B10" i="7"/>
  <c r="G9" i="7"/>
  <c r="G8" i="7"/>
  <c r="G7" i="7"/>
  <c r="F7" i="7"/>
  <c r="E7" i="7"/>
  <c r="D7" i="7"/>
  <c r="C7" i="7"/>
  <c r="B7" i="7"/>
  <c r="G6" i="7"/>
  <c r="F6" i="7"/>
  <c r="E6" i="7"/>
  <c r="D6" i="7"/>
  <c r="C6" i="7"/>
  <c r="B6" i="7"/>
  <c r="C4" i="7"/>
  <c r="G4" i="7" l="1"/>
</calcChain>
</file>

<file path=xl/sharedStrings.xml><?xml version="1.0" encoding="utf-8"?>
<sst xmlns="http://schemas.openxmlformats.org/spreadsheetml/2006/main" count="232" uniqueCount="86">
  <si>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</si>
  <si>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</si>
  <si>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</si>
  <si>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</si>
  <si>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</si>
  <si>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</si>
  <si>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</si>
  <si>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</si>
  <si>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</si>
  <si>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</si>
  <si>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</si>
  <si>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</si>
  <si>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</si>
  <si>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</si>
  <si>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Данные за период управления:</t>
  </si>
  <si>
    <t>Работы по содержанию и ремонту лифта (лифтов) в многоквартирном доме</t>
  </si>
  <si>
    <t>Работы по содержанию и ремонту мусоропроводов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</si>
  <si>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</si>
  <si>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</si>
  <si>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</si>
  <si>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Проведение 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</si>
  <si>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</si>
  <si>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</si>
  <si>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</si>
  <si>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Работы по обеспечению требований пожарной безопасности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</si>
  <si>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</si>
  <si>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</si>
  <si>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</si>
  <si>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(отчеты по управлению) - выполненные работы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</si>
  <si>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</si>
  <si>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</si>
  <si>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</si>
  <si>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</si>
  <si>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(отчеты по управлению) - коммунальные услуги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</si>
  <si>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</si>
  <si>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</si>
  <si>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</si>
  <si>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</si>
  <si>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</si>
  <si>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</si>
  <si>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(отчеты по управлению) - объемы по коммунальным услугам</t>
  </si>
  <si>
    <t>Электроснабжение (начислено потребителям)</t>
  </si>
  <si>
    <t>Холодное водоснабжение (начислено потребителям)</t>
  </si>
  <si>
    <t>Отопление (начислено потребителям)</t>
  </si>
  <si>
    <t>Горячее водоснабжение (начислено потребителям)</t>
  </si>
  <si>
    <t>Водоотведение (начислено потребителям)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</si>
  <si>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</si>
  <si>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</si>
  <si>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</si>
  <si>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(отчеты по управлению) претензионно-исковая работа</t>
  </si>
  <si>
    <t xml:space="preserve"> (отчеты по управлению) - общая информация</t>
  </si>
  <si>
    <t>(управление) - выполняемые работы (услуги)</t>
  </si>
  <si>
    <t>Общая задолженность по тепловой энергии, руб.</t>
  </si>
  <si>
    <t>Общая задолженность по тепловой энергии для нужд отопления, руб.</t>
  </si>
  <si>
    <t>Общая задолженность по тепловой энергии для нужд горячего водоснабжения, руб.</t>
  </si>
  <si>
    <t>Общая задолженность по горячей воде, руб.</t>
  </si>
  <si>
    <t>Общая задолженность по холодной воде, руб.</t>
  </si>
  <si>
    <t>Общая задолженность по водоотведению, руб.</t>
  </si>
  <si>
    <t>Общая задолженность по поставке газа, руб.</t>
  </si>
  <si>
    <t>Общая задолженность по электрической энергии, руб.</t>
  </si>
  <si>
    <t>Общая задолженность по прочим ресурсам (услугам), руб.</t>
  </si>
  <si>
    <t>Данные УК основные финансовые показатели</t>
  </si>
  <si>
    <t>Данные по МКД</t>
  </si>
  <si>
    <t>ВСЕГО</t>
  </si>
  <si>
    <t>Общий объем потребления,КВт.</t>
  </si>
  <si>
    <t>Общий объем потребления, м.3</t>
  </si>
  <si>
    <t>Общий объем потребления, Гкал.</t>
  </si>
  <si>
    <t>Данные по МКД-1</t>
  </si>
  <si>
    <t>Начислено потребителям, руб.</t>
  </si>
  <si>
    <t>д.12 к.2</t>
  </si>
  <si>
    <t>д.10 к.1</t>
  </si>
  <si>
    <t>д.10 к.2</t>
  </si>
  <si>
    <t>Учебный</t>
  </si>
  <si>
    <t>д.10 к.3</t>
  </si>
  <si>
    <t xml:space="preserve">Учебный </t>
  </si>
  <si>
    <t>д.10 к.4</t>
  </si>
  <si>
    <r>
      <t xml:space="preserve">Задолженность перед поставщиком (поставщиками) коммунального ресурса на </t>
    </r>
    <r>
      <rPr>
        <sz val="11"/>
        <color rgb="FFFF0000"/>
        <rFont val="Arial"/>
        <family val="2"/>
        <charset val="204"/>
      </rPr>
      <t>01.01.2017</t>
    </r>
    <r>
      <rPr>
        <sz val="11"/>
        <color rgb="FF717171"/>
        <rFont val="Arial"/>
        <family val="2"/>
        <charset val="204"/>
      </rPr>
      <t>, руб.</t>
    </r>
  </si>
  <si>
    <t>Текущий ремонт</t>
  </si>
  <si>
    <t>Эксплуатация общедомовых ПУ</t>
  </si>
  <si>
    <t>телеантенна</t>
  </si>
  <si>
    <t>Радио</t>
  </si>
  <si>
    <t>Содержание и ремонт домофонов</t>
  </si>
  <si>
    <t>Видеонаблюдение</t>
  </si>
  <si>
    <t>Сведения о доходах, полученных за оказание услуг по управлению многоквартирными домами</t>
  </si>
  <si>
    <t>Сведения о расходах, понесенных в связи с оказанием услуг по управлению многоквартирными домами</t>
  </si>
  <si>
    <t>Общая задолженность управляющей организации (индивидуального предпринимателя) перед ресурсоснабжающими организациями на 01.01.2017: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</si>
</sst>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717171"/>
      <name val="Arial"/>
      <family val="2"/>
      <charset val="204"/>
    </font>
    <font>
      <sz val="12"/>
      <color rgb="FF71717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9"/>
      <color indexed="21"/>
      <name val="Arial"/>
      <family val="2"/>
    </font>
    <font>
      <sz val="11"/>
      <color rgb="FFFF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vertical="center" wrapText="1"/>
    </xf>
    <xf numFmtId="0" fontId="0" fillId="0" borderId="1" xfId="0" applyBorder="1"/>
    <xf numFmtId="0" fontId="1" fillId="0" borderId="1" xfId="0" applyFont="1" applyBorder="1"/>
    <xf numFmtId="0" fontId="7" fillId="0" borderId="0" xfId="0" applyFont="1"/>
    <xf numFmtId="0" fontId="8" fillId="0" borderId="0" xfId="0" applyFont="1"/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2" fillId="3" borderId="2" xfId="0" applyFont="1" applyFill="1" applyBorder="1" applyAlignment="1">
      <alignment vertical="center"/>
    </xf>
    <xf numFmtId="0" fontId="0" fillId="0" borderId="1" xfId="0" applyFill="1" applyBorder="1"/>
    <xf numFmtId="0" fontId="1" fillId="0" borderId="2" xfId="0" applyFont="1" applyBorder="1"/>
    <xf numFmtId="0" fontId="0" fillId="0" borderId="2" xfId="0" applyBorder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 wrapText="1" indent="1"/>
    </xf>
    <xf numFmtId="0" fontId="0" fillId="0" borderId="0" xfId="0" applyFill="1"/>
    <xf numFmtId="2" fontId="0" fillId="0" borderId="0" xfId="0" applyNumberFormat="1"/>
    <xf numFmtId="4" fontId="0" fillId="0" borderId="1" xfId="0" applyNumberFormat="1" applyBorder="1"/>
    <xf numFmtId="4" fontId="0" fillId="0" borderId="0" xfId="0" applyNumberFormat="1"/>
    <xf numFmtId="4" fontId="7" fillId="0" borderId="1" xfId="0" applyNumberFormat="1" applyFont="1" applyBorder="1"/>
    <xf numFmtId="4" fontId="8" fillId="0" borderId="1" xfId="0" applyNumberFormat="1" applyFont="1" applyBorder="1"/>
    <xf numFmtId="4" fontId="7" fillId="0" borderId="1" xfId="0" applyNumberFormat="1" applyFont="1" applyFill="1" applyBorder="1"/>
    <xf numFmtId="0" fontId="2" fillId="3" borderId="2" xfId="0" applyFont="1" applyFill="1" applyBorder="1" applyAlignment="1">
      <alignment vertical="center" wrapText="1"/>
    </xf>
    <xf numFmtId="4" fontId="11" fillId="0" borderId="1" xfId="1" applyNumberFormat="1" applyFont="1" applyFill="1" applyBorder="1" applyAlignment="1">
      <alignment horizontal="right" vertical="top" wrapText="1"/>
    </xf>
    <xf numFmtId="0" fontId="13" fillId="0" borderId="0" xfId="0" applyFont="1" applyFill="1"/>
    <xf numFmtId="4" fontId="12" fillId="0" borderId="4" xfId="1" applyNumberFormat="1" applyFont="1" applyFill="1" applyBorder="1" applyAlignment="1">
      <alignment horizontal="right" vertical="top" wrapText="1"/>
    </xf>
    <xf numFmtId="4" fontId="0" fillId="0" borderId="2" xfId="0" applyNumberFormat="1" applyBorder="1"/>
    <xf numFmtId="4" fontId="0" fillId="0" borderId="3" xfId="0" applyNumberFormat="1" applyBorder="1"/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1" xfId="0" applyFont="1" applyFill="1" applyBorder="1"/>
    <xf numFmtId="2" fontId="8" fillId="0" borderId="1" xfId="0" applyNumberFormat="1" applyFont="1" applyBorder="1"/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4" fontId="8" fillId="0" borderId="1" xfId="0" applyNumberFormat="1" applyFont="1" applyFill="1" applyBorder="1"/>
    <xf numFmtId="0" fontId="1" fillId="4" borderId="0" xfId="0" applyFont="1" applyFill="1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right"/>
    </xf>
    <xf numFmtId="0" fontId="1" fillId="4" borderId="1" xfId="0" applyFont="1" applyFill="1" applyBorder="1"/>
    <xf numFmtId="0" fontId="1" fillId="4" borderId="2" xfId="0" applyFont="1" applyFill="1" applyBorder="1"/>
    <xf numFmtId="0" fontId="0" fillId="4" borderId="1" xfId="0" applyFill="1" applyBorder="1"/>
    <xf numFmtId="0" fontId="1" fillId="4" borderId="0" xfId="0" applyFont="1" applyFill="1" applyAlignment="1"/>
    <xf numFmtId="0" fontId="0" fillId="4" borderId="0" xfId="0" applyFill="1" applyAlignment="1"/>
    <xf numFmtId="0" fontId="6" fillId="4" borderId="1" xfId="0" applyFont="1" applyFill="1" applyBorder="1" applyAlignment="1">
      <alignment horizontal="left" vertical="center"/>
    </xf>
    <xf numFmtId="4" fontId="7" fillId="4" borderId="1" xfId="0" applyNumberFormat="1" applyFont="1" applyFill="1" applyBorder="1"/>
    <xf numFmtId="0" fontId="7" fillId="4" borderId="0" xfId="0" applyFont="1" applyFill="1"/>
    <xf numFmtId="0" fontId="9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4" fontId="0" fillId="4" borderId="1" xfId="0" applyNumberFormat="1" applyFill="1" applyBorder="1"/>
    <xf numFmtId="4" fontId="8" fillId="4" borderId="1" xfId="0" applyNumberFormat="1" applyFont="1" applyFill="1" applyBorder="1"/>
    <xf numFmtId="0" fontId="8" fillId="4" borderId="0" xfId="0" applyFont="1" applyFill="1"/>
    <xf numFmtId="0" fontId="0" fillId="4" borderId="1" xfId="0" applyFill="1" applyBorder="1" applyAlignment="1"/>
    <xf numFmtId="4" fontId="0" fillId="4" borderId="0" xfId="0" applyNumberFormat="1" applyFill="1"/>
    <xf numFmtId="4" fontId="15" fillId="4" borderId="1" xfId="0" applyNumberFormat="1" applyFont="1" applyFill="1" applyBorder="1"/>
    <xf numFmtId="4" fontId="14" fillId="4" borderId="1" xfId="0" applyNumberFormat="1" applyFont="1" applyFill="1" applyBorder="1"/>
    <xf numFmtId="4" fontId="15" fillId="0" borderId="0" xfId="0" applyNumberFormat="1" applyFont="1"/>
  </cellXfs>
  <cellStyles count="2">
    <cellStyle name="Обычный" xfId="0" builtinId="0"/>
    <cellStyle name="Обычный_Данные по У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Normal="100" workbookViewId="0">
      <selection activeCell="A12" sqref="A12"/>
    </sheetView>
  </sheetViews>
  <sheetFormatPr defaultRowHeight="15" x14ac:dyDescent="0.25"/>
  <cols>
    <col min="1" max="1" width="81.7109375" customWidth="1"/>
    <col min="2" max="3" width="12.5703125" customWidth="1"/>
    <col min="4" max="4" width="11.85546875" customWidth="1"/>
    <col min="5" max="5" width="12.140625" customWidth="1"/>
    <col min="6" max="6" width="11.42578125" customWidth="1"/>
    <col min="7" max="7" width="15.42578125" customWidth="1"/>
  </cols>
  <sheetData>
    <row r="1" spans="1:9" x14ac:dyDescent="0.25">
      <c r="A1" s="7"/>
      <c r="B1" s="7"/>
      <c r="C1" s="7"/>
      <c r="D1" s="7"/>
      <c r="E1" s="40"/>
      <c r="F1" s="40"/>
      <c r="G1" s="40"/>
    </row>
    <row r="2" spans="1:9" x14ac:dyDescent="0.25">
      <c r="A2" s="7"/>
      <c r="B2" s="41" t="s">
        <v>74</v>
      </c>
      <c r="C2" s="41" t="s">
        <v>74</v>
      </c>
      <c r="D2" s="42" t="s">
        <v>74</v>
      </c>
      <c r="E2" s="43" t="s">
        <v>72</v>
      </c>
      <c r="F2" s="41" t="s">
        <v>72</v>
      </c>
      <c r="G2" s="41" t="s">
        <v>63</v>
      </c>
    </row>
    <row r="3" spans="1:9" x14ac:dyDescent="0.25">
      <c r="A3" s="6" t="s">
        <v>61</v>
      </c>
      <c r="B3" s="41" t="s">
        <v>69</v>
      </c>
      <c r="C3" s="41" t="s">
        <v>70</v>
      </c>
      <c r="D3" s="42" t="s">
        <v>71</v>
      </c>
      <c r="E3" s="41" t="s">
        <v>73</v>
      </c>
      <c r="F3" s="41" t="s">
        <v>75</v>
      </c>
      <c r="G3" s="44"/>
    </row>
    <row r="4" spans="1:9" ht="32.25" customHeight="1" x14ac:dyDescent="0.25">
      <c r="A4" s="45" t="s">
        <v>83</v>
      </c>
      <c r="B4" s="28">
        <f>'Данные по МКД-6'!F27</f>
        <v>1384915.3499999999</v>
      </c>
      <c r="C4" s="28">
        <f>'Данные по МКД-6'!G27</f>
        <v>850214.33000000007</v>
      </c>
      <c r="D4" s="28">
        <f>'Данные по МКД-6'!H27</f>
        <v>517827.34</v>
      </c>
      <c r="E4" s="28">
        <f>'Данные по МКД-6'!I27</f>
        <v>356845.73999999993</v>
      </c>
      <c r="F4" s="28">
        <f>'Данные по МКД-6'!J27</f>
        <v>1360229.04</v>
      </c>
      <c r="G4" s="28">
        <f>B4+C4+D4+E4+F4</f>
        <v>4470031.7999999989</v>
      </c>
    </row>
    <row r="5" spans="1:9" ht="28.5" x14ac:dyDescent="0.25">
      <c r="A5" s="45" t="s">
        <v>84</v>
      </c>
      <c r="B5" s="28">
        <f>B4</f>
        <v>1384915.3499999999</v>
      </c>
      <c r="C5" s="28">
        <f>C4</f>
        <v>850214.33000000007</v>
      </c>
      <c r="D5" s="28">
        <f t="shared" ref="D5:F5" si="0">D4</f>
        <v>517827.34</v>
      </c>
      <c r="E5" s="28">
        <f t="shared" si="0"/>
        <v>356845.73999999993</v>
      </c>
      <c r="F5" s="28">
        <f t="shared" si="0"/>
        <v>1360229.04</v>
      </c>
      <c r="G5" s="28">
        <f>B5+C5+D5+E5+F5</f>
        <v>4470031.7999999989</v>
      </c>
    </row>
    <row r="6" spans="1:9" ht="45" x14ac:dyDescent="0.25">
      <c r="A6" s="46" t="s">
        <v>85</v>
      </c>
      <c r="B6" s="27">
        <f t="shared" ref="B6:G6" si="1">SUM(B7:B15)</f>
        <v>2238508.5499999998</v>
      </c>
      <c r="C6" s="27">
        <f t="shared" si="1"/>
        <v>1233171.04</v>
      </c>
      <c r="D6" s="27">
        <f t="shared" si="1"/>
        <v>728598.78999999992</v>
      </c>
      <c r="E6" s="27">
        <f t="shared" si="1"/>
        <v>584288.2699999999</v>
      </c>
      <c r="F6" s="27">
        <f t="shared" si="1"/>
        <v>2037662</v>
      </c>
      <c r="G6" s="27">
        <f t="shared" si="1"/>
        <v>6822228.6500000004</v>
      </c>
    </row>
    <row r="7" spans="1:9" x14ac:dyDescent="0.25">
      <c r="A7" s="47" t="s">
        <v>52</v>
      </c>
      <c r="B7" s="28">
        <f>423572.24+713138.98</f>
        <v>1136711.22</v>
      </c>
      <c r="C7" s="28">
        <f>254451.52+413824.32</f>
        <v>668275.84</v>
      </c>
      <c r="D7" s="28">
        <f>241686.77+140704.16</f>
        <v>382390.93</v>
      </c>
      <c r="E7" s="28">
        <f>123138.44+201138.02</f>
        <v>324276.45999999996</v>
      </c>
      <c r="F7" s="28">
        <f>652429.39+400329.7</f>
        <v>1052759.0900000001</v>
      </c>
      <c r="G7" s="27">
        <f>B7+C7+D7+E7+F7</f>
        <v>3564413.54</v>
      </c>
    </row>
    <row r="8" spans="1:9" x14ac:dyDescent="0.25">
      <c r="A8" s="47" t="s">
        <v>53</v>
      </c>
      <c r="B8" s="28"/>
      <c r="C8" s="28"/>
      <c r="D8" s="28"/>
      <c r="E8" s="28"/>
      <c r="F8" s="28"/>
      <c r="G8" s="27">
        <f t="shared" ref="G8:G15" si="2">B8+C8+D8+E8+F8</f>
        <v>0</v>
      </c>
    </row>
    <row r="9" spans="1:9" s="23" customFormat="1" ht="15" customHeight="1" x14ac:dyDescent="0.25">
      <c r="A9" s="48" t="s">
        <v>54</v>
      </c>
      <c r="B9" s="49"/>
      <c r="C9" s="49"/>
      <c r="D9" s="49"/>
      <c r="E9" s="49"/>
      <c r="F9" s="49"/>
      <c r="G9" s="29">
        <f t="shared" si="2"/>
        <v>0</v>
      </c>
    </row>
    <row r="10" spans="1:9" s="23" customFormat="1" x14ac:dyDescent="0.25">
      <c r="A10" s="48" t="s">
        <v>55</v>
      </c>
      <c r="B10" s="49">
        <f>167855.61+166736.46+128928.8</f>
        <v>463520.86999999994</v>
      </c>
      <c r="C10" s="49">
        <f>91104.93+94381.26+68835.56</f>
        <v>254321.75</v>
      </c>
      <c r="D10" s="49">
        <f>55876.18+56881.79+39559.36</f>
        <v>152317.33000000002</v>
      </c>
      <c r="E10" s="49">
        <f>43987.28+42316.68+28886.93</f>
        <v>115190.88999999998</v>
      </c>
      <c r="F10" s="49">
        <f>163087.07+158934.88+122668.08</f>
        <v>444690.03</v>
      </c>
      <c r="G10" s="29">
        <f t="shared" si="2"/>
        <v>1430040.87</v>
      </c>
    </row>
    <row r="11" spans="1:9" s="23" customFormat="1" x14ac:dyDescent="0.25">
      <c r="A11" s="48" t="s">
        <v>56</v>
      </c>
      <c r="B11" s="31">
        <f>168138.25+67443.56</f>
        <v>235581.81</v>
      </c>
      <c r="C11" s="31">
        <f>76195.19+30757.93</f>
        <v>106953.12</v>
      </c>
      <c r="D11" s="31">
        <f>47676.06+19309.57</f>
        <v>66985.63</v>
      </c>
      <c r="E11" s="31">
        <f>36227.7+13738.03</f>
        <v>49965.729999999996</v>
      </c>
      <c r="F11" s="31">
        <f>133106.27+57267.24</f>
        <v>190373.50999999998</v>
      </c>
      <c r="G11" s="29">
        <f t="shared" si="2"/>
        <v>649859.79999999993</v>
      </c>
    </row>
    <row r="12" spans="1:9" s="23" customFormat="1" x14ac:dyDescent="0.25">
      <c r="A12" s="48" t="s">
        <v>57</v>
      </c>
      <c r="B12" s="31">
        <f>255606.26+67443.56+39173.75</f>
        <v>362223.57</v>
      </c>
      <c r="C12" s="31">
        <f>124683.06+30757.93+22768.5</f>
        <v>178209.49</v>
      </c>
      <c r="D12" s="31">
        <f>77151.76+33738.57</f>
        <v>110890.32999999999</v>
      </c>
      <c r="E12" s="31">
        <f>58788.34+24974.21</f>
        <v>83762.549999999988</v>
      </c>
      <c r="F12" s="31">
        <f>217285.55+96162.92</f>
        <v>313448.46999999997</v>
      </c>
      <c r="G12" s="29">
        <f t="shared" si="2"/>
        <v>1048534.4099999999</v>
      </c>
    </row>
    <row r="13" spans="1:9" s="23" customFormat="1" x14ac:dyDescent="0.25">
      <c r="A13" s="48" t="s">
        <v>58</v>
      </c>
      <c r="B13" s="49"/>
      <c r="C13" s="49"/>
      <c r="D13" s="49"/>
      <c r="E13" s="49"/>
      <c r="F13" s="49"/>
      <c r="G13" s="29">
        <f t="shared" si="2"/>
        <v>0</v>
      </c>
    </row>
    <row r="14" spans="1:9" s="23" customFormat="1" x14ac:dyDescent="0.25">
      <c r="A14" s="48" t="s">
        <v>59</v>
      </c>
      <c r="B14" s="49">
        <f>10199.28+13218.79+17053.01</f>
        <v>40471.08</v>
      </c>
      <c r="C14" s="49">
        <f>6440.33+7817.29+11153.22</f>
        <v>25410.839999999997</v>
      </c>
      <c r="D14" s="49">
        <f>4377.1+5253.69+6383.78</f>
        <v>16014.57</v>
      </c>
      <c r="E14" s="49">
        <f>3031.86+3641.43+4419.35</f>
        <v>11092.64</v>
      </c>
      <c r="F14" s="49">
        <f>9280.7+11926.2+15184</f>
        <v>36390.9</v>
      </c>
      <c r="G14" s="29">
        <f t="shared" si="2"/>
        <v>129380.03</v>
      </c>
      <c r="H14" s="32"/>
      <c r="I14" s="33"/>
    </row>
    <row r="15" spans="1:9" s="23" customFormat="1" x14ac:dyDescent="0.25">
      <c r="A15" s="48" t="s">
        <v>60</v>
      </c>
      <c r="B15" s="49"/>
      <c r="C15" s="49"/>
      <c r="D15" s="49"/>
      <c r="E15" s="49"/>
      <c r="F15" s="49"/>
      <c r="G15" s="29">
        <f t="shared" si="2"/>
        <v>0</v>
      </c>
    </row>
    <row r="16" spans="1:9" x14ac:dyDescent="0.25">
      <c r="B16" s="26"/>
      <c r="C16" s="26"/>
      <c r="D16" s="26"/>
      <c r="E16" s="26"/>
      <c r="F16" s="26"/>
      <c r="G16" s="26"/>
    </row>
    <row r="17" spans="7:7" x14ac:dyDescent="0.25">
      <c r="G17" s="24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workbookViewId="0">
      <pane xSplit="1" ySplit="6" topLeftCell="B73" activePane="bottomRight" state="frozen"/>
      <selection pane="topRight" activeCell="B1" sqref="B1"/>
      <selection pane="bottomLeft" activeCell="A4" sqref="A4"/>
      <selection pane="bottomRight" activeCell="K17" sqref="K17"/>
    </sheetView>
  </sheetViews>
  <sheetFormatPr defaultRowHeight="15" x14ac:dyDescent="0.25"/>
  <cols>
    <col min="1" max="1" width="54.42578125" style="8" customWidth="1"/>
    <col min="2" max="2" width="14.5703125" customWidth="1"/>
    <col min="3" max="3" width="12.140625" customWidth="1"/>
    <col min="4" max="4" width="12" customWidth="1"/>
    <col min="5" max="5" width="12.5703125" customWidth="1"/>
    <col min="6" max="6" width="12.28515625" customWidth="1"/>
    <col min="7" max="7" width="14" customWidth="1"/>
  </cols>
  <sheetData>
    <row r="1" spans="1:15" s="51" customFormat="1" x14ac:dyDescent="0.25">
      <c r="A1" s="50" t="s">
        <v>62</v>
      </c>
    </row>
    <row r="2" spans="1:15" s="51" customFormat="1" x14ac:dyDescent="0.25">
      <c r="A2" s="50"/>
      <c r="B2" s="50"/>
      <c r="C2" s="50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51" customFormat="1" x14ac:dyDescent="0.25">
      <c r="A3" s="50"/>
      <c r="B3" s="53" t="s">
        <v>74</v>
      </c>
      <c r="C3" s="53" t="s">
        <v>74</v>
      </c>
      <c r="D3" s="54" t="s">
        <v>74</v>
      </c>
      <c r="E3" s="53" t="s">
        <v>72</v>
      </c>
      <c r="F3" s="53" t="s">
        <v>72</v>
      </c>
      <c r="G3" s="53" t="s">
        <v>63</v>
      </c>
    </row>
    <row r="4" spans="1:15" s="51" customFormat="1" x14ac:dyDescent="0.25">
      <c r="A4" s="50"/>
      <c r="B4" s="53" t="s">
        <v>69</v>
      </c>
      <c r="C4" s="53" t="s">
        <v>70</v>
      </c>
      <c r="D4" s="54" t="s">
        <v>71</v>
      </c>
      <c r="E4" s="53" t="s">
        <v>73</v>
      </c>
      <c r="F4" s="53" t="s">
        <v>75</v>
      </c>
      <c r="G4" s="55"/>
    </row>
    <row r="5" spans="1:15" s="51" customFormat="1" x14ac:dyDescent="0.25">
      <c r="A5" s="56" t="s">
        <v>40</v>
      </c>
      <c r="B5" s="55"/>
      <c r="C5" s="55"/>
      <c r="D5" s="55"/>
      <c r="E5" s="55"/>
      <c r="F5" s="55"/>
      <c r="G5" s="55"/>
    </row>
    <row r="6" spans="1:15" s="51" customFormat="1" ht="6.6" customHeight="1" x14ac:dyDescent="0.25">
      <c r="A6" s="57"/>
      <c r="B6" s="55"/>
      <c r="C6" s="55"/>
      <c r="D6" s="55"/>
      <c r="E6" s="55"/>
      <c r="F6" s="55"/>
      <c r="G6" s="55"/>
    </row>
    <row r="7" spans="1:15" s="60" customFormat="1" x14ac:dyDescent="0.25">
      <c r="A7" s="58" t="s">
        <v>41</v>
      </c>
      <c r="B7" s="59"/>
      <c r="C7" s="59"/>
      <c r="D7" s="59"/>
      <c r="E7" s="59"/>
      <c r="F7" s="59"/>
      <c r="G7" s="59"/>
    </row>
    <row r="8" spans="1:15" s="60" customFormat="1" x14ac:dyDescent="0.25">
      <c r="A8" s="61" t="s">
        <v>68</v>
      </c>
      <c r="B8" s="59">
        <f>27940.79+12530.27</f>
        <v>40471.06</v>
      </c>
      <c r="C8" s="59">
        <f>15636.84+4883.03</f>
        <v>20519.87</v>
      </c>
      <c r="D8" s="59">
        <f>10602.79+3745.1</f>
        <v>14347.890000000001</v>
      </c>
      <c r="E8" s="59">
        <f>7367.98+2602.63</f>
        <v>9970.61</v>
      </c>
      <c r="F8" s="59">
        <f>26683.82+9707.27</f>
        <v>36391.089999999997</v>
      </c>
      <c r="G8" s="59">
        <f t="shared" ref="G8:G71" si="0">SUM(B8:F8)</f>
        <v>121700.51999999999</v>
      </c>
    </row>
    <row r="9" spans="1:15" s="60" customFormat="1" x14ac:dyDescent="0.25">
      <c r="A9" s="58"/>
      <c r="B9" s="59"/>
      <c r="C9" s="59"/>
      <c r="D9" s="59"/>
      <c r="E9" s="59"/>
      <c r="F9" s="59"/>
      <c r="G9" s="59">
        <f t="shared" si="0"/>
        <v>0</v>
      </c>
    </row>
    <row r="10" spans="1:15" s="51" customFormat="1" x14ac:dyDescent="0.25">
      <c r="A10" s="62" t="s">
        <v>64</v>
      </c>
      <c r="B10" s="63">
        <f>27940.79/4.29+12530.27/2.47</f>
        <v>11585.988467672678</v>
      </c>
      <c r="C10" s="63">
        <f>15636.84/4.29+4883.03/2.47</f>
        <v>5621.8862716231133</v>
      </c>
      <c r="D10" s="63">
        <f>10602.79/4.29+3745.1/2.47</f>
        <v>3987.7476383265857</v>
      </c>
      <c r="E10" s="63">
        <f>7367.98/4.29+2602.63/2.47</f>
        <v>2771.1742117531589</v>
      </c>
      <c r="F10" s="63">
        <f>26683.82/4.29+9662.65/2.47</f>
        <v>10132.008710587657</v>
      </c>
      <c r="G10" s="59">
        <f t="shared" si="0"/>
        <v>34098.805299963191</v>
      </c>
    </row>
    <row r="11" spans="1:15" s="51" customFormat="1" x14ac:dyDescent="0.25">
      <c r="A11" s="62"/>
      <c r="B11" s="63"/>
      <c r="C11" s="63"/>
      <c r="D11" s="63"/>
      <c r="E11" s="63"/>
      <c r="F11" s="63"/>
      <c r="G11" s="59">
        <f t="shared" si="0"/>
        <v>0</v>
      </c>
    </row>
    <row r="12" spans="1:15" s="51" customFormat="1" x14ac:dyDescent="0.25">
      <c r="A12" s="62" t="s">
        <v>34</v>
      </c>
      <c r="B12" s="63">
        <f>20167.1+9044.1</f>
        <v>29211.199999999997</v>
      </c>
      <c r="C12" s="63">
        <f>10779.48+3366.19</f>
        <v>14145.67</v>
      </c>
      <c r="D12" s="63">
        <f>7997.69+2824.93</f>
        <v>10822.619999999999</v>
      </c>
      <c r="E12" s="63">
        <f>5664.02+2000.73</f>
        <v>7664.75</v>
      </c>
      <c r="F12" s="63">
        <f>19297.85+7020.34</f>
        <v>26318.19</v>
      </c>
      <c r="G12" s="59">
        <f t="shared" si="0"/>
        <v>88162.43</v>
      </c>
    </row>
    <row r="13" spans="1:15" s="51" customFormat="1" x14ac:dyDescent="0.25">
      <c r="A13" s="62"/>
      <c r="B13" s="63"/>
      <c r="C13" s="63"/>
      <c r="D13" s="63"/>
      <c r="E13" s="63"/>
      <c r="F13" s="63"/>
      <c r="G13" s="59">
        <f t="shared" si="0"/>
        <v>0</v>
      </c>
    </row>
    <row r="14" spans="1:15" s="51" customFormat="1" x14ac:dyDescent="0.25">
      <c r="A14" s="62" t="s">
        <v>35</v>
      </c>
      <c r="B14" s="63">
        <f>7820.58-46.89+3507.2-21.03</f>
        <v>11259.859999999999</v>
      </c>
      <c r="C14" s="63">
        <f>5045.84-188.48-58.86+1575.7</f>
        <v>6374.2000000000007</v>
      </c>
      <c r="D14" s="63">
        <f>2645.12-40.02+934.31-14.14</f>
        <v>3525.27</v>
      </c>
      <c r="E14" s="63">
        <f>1761.67-57.71+622.28-20.39</f>
        <v>2305.85</v>
      </c>
      <c r="F14" s="63">
        <f>7593.35-207.38+2762.37-75.44</f>
        <v>10072.9</v>
      </c>
      <c r="G14" s="59">
        <f t="shared" si="0"/>
        <v>33538.079999999994</v>
      </c>
    </row>
    <row r="15" spans="1:15" s="51" customFormat="1" x14ac:dyDescent="0.25">
      <c r="A15" s="62"/>
      <c r="B15" s="68">
        <f t="shared" ref="B15:C15" si="1">B8-B12-B14</f>
        <v>0</v>
      </c>
      <c r="C15" s="68">
        <f t="shared" si="1"/>
        <v>0</v>
      </c>
      <c r="D15" s="68">
        <f>D8-D12-D14</f>
        <v>0</v>
      </c>
      <c r="E15" s="68">
        <f t="shared" ref="E15:F15" si="2">E8-E12-E14</f>
        <v>1.0000000000673026E-2</v>
      </c>
      <c r="F15" s="68">
        <f t="shared" si="2"/>
        <v>0</v>
      </c>
      <c r="G15" s="69">
        <f t="shared" si="0"/>
        <v>1.0000000000673026E-2</v>
      </c>
    </row>
    <row r="16" spans="1:15" s="51" customFormat="1" x14ac:dyDescent="0.25">
      <c r="A16" s="62" t="s">
        <v>36</v>
      </c>
      <c r="B16" s="63">
        <v>40471.08</v>
      </c>
      <c r="C16" s="63">
        <v>25410.84</v>
      </c>
      <c r="D16" s="63">
        <v>16014.57</v>
      </c>
      <c r="E16" s="63">
        <v>11092.64</v>
      </c>
      <c r="F16" s="63">
        <v>36390.9</v>
      </c>
      <c r="G16" s="59">
        <f t="shared" si="0"/>
        <v>129380.03</v>
      </c>
    </row>
    <row r="17" spans="1:7" s="51" customFormat="1" x14ac:dyDescent="0.25">
      <c r="A17" s="62"/>
      <c r="B17" s="63"/>
      <c r="C17" s="63"/>
      <c r="D17" s="63"/>
      <c r="E17" s="63"/>
      <c r="F17" s="63"/>
      <c r="G17" s="59">
        <f t="shared" si="0"/>
        <v>0</v>
      </c>
    </row>
    <row r="18" spans="1:7" s="51" customFormat="1" x14ac:dyDescent="0.25">
      <c r="A18" s="62" t="s">
        <v>37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59">
        <f t="shared" si="0"/>
        <v>0</v>
      </c>
    </row>
    <row r="19" spans="1:7" s="51" customFormat="1" x14ac:dyDescent="0.25">
      <c r="A19" s="62"/>
      <c r="B19" s="63"/>
      <c r="C19" s="63"/>
      <c r="D19" s="63"/>
      <c r="E19" s="63"/>
      <c r="F19" s="63"/>
      <c r="G19" s="59">
        <f t="shared" si="0"/>
        <v>0</v>
      </c>
    </row>
    <row r="20" spans="1:7" s="51" customFormat="1" x14ac:dyDescent="0.25">
      <c r="A20" s="62" t="s">
        <v>76</v>
      </c>
      <c r="B20" s="63">
        <f>'Данные по УК'!B14</f>
        <v>40471.08</v>
      </c>
      <c r="C20" s="63">
        <f>'Данные по УК'!C14</f>
        <v>25410.839999999997</v>
      </c>
      <c r="D20" s="63">
        <f>'Данные по УК'!D14</f>
        <v>16014.57</v>
      </c>
      <c r="E20" s="63">
        <f>'Данные по УК'!E14</f>
        <v>11092.64</v>
      </c>
      <c r="F20" s="63">
        <f>'Данные по УК'!F14</f>
        <v>36390.9</v>
      </c>
      <c r="G20" s="59">
        <f t="shared" si="0"/>
        <v>129380.03</v>
      </c>
    </row>
    <row r="21" spans="1:7" s="51" customFormat="1" x14ac:dyDescent="0.25">
      <c r="A21" s="62"/>
      <c r="B21" s="63"/>
      <c r="C21" s="63"/>
      <c r="D21" s="63"/>
      <c r="E21" s="63"/>
      <c r="F21" s="63"/>
      <c r="G21" s="59">
        <f t="shared" si="0"/>
        <v>0</v>
      </c>
    </row>
    <row r="22" spans="1:7" s="51" customFormat="1" x14ac:dyDescent="0.25">
      <c r="A22" s="62" t="s">
        <v>39</v>
      </c>
      <c r="B22" s="63"/>
      <c r="C22" s="63"/>
      <c r="D22" s="63"/>
      <c r="E22" s="63"/>
      <c r="F22" s="63"/>
      <c r="G22" s="59">
        <f t="shared" si="0"/>
        <v>0</v>
      </c>
    </row>
    <row r="23" spans="1:7" s="51" customFormat="1" x14ac:dyDescent="0.25">
      <c r="A23" s="62"/>
      <c r="B23" s="63"/>
      <c r="C23" s="63"/>
      <c r="D23" s="63"/>
      <c r="E23" s="63"/>
      <c r="F23" s="63"/>
      <c r="G23" s="59">
        <f t="shared" si="0"/>
        <v>0</v>
      </c>
    </row>
    <row r="24" spans="1:7" s="60" customFormat="1" x14ac:dyDescent="0.25">
      <c r="A24" s="58" t="s">
        <v>42</v>
      </c>
      <c r="B24" s="59"/>
      <c r="C24" s="59"/>
      <c r="D24" s="59"/>
      <c r="E24" s="59"/>
      <c r="F24" s="59"/>
      <c r="G24" s="59">
        <f t="shared" si="0"/>
        <v>0</v>
      </c>
    </row>
    <row r="25" spans="1:7" s="60" customFormat="1" x14ac:dyDescent="0.25">
      <c r="A25" s="61" t="s">
        <v>68</v>
      </c>
      <c r="B25" s="59">
        <f>184999.8+7745.17</f>
        <v>192744.97</v>
      </c>
      <c r="C25" s="59">
        <f>102748.69+4765.62</f>
        <v>107514.31</v>
      </c>
      <c r="D25" s="59">
        <f>62613.49+3184.34</f>
        <v>65797.83</v>
      </c>
      <c r="E25" s="59">
        <f>40580.34+2006.04</f>
        <v>42586.38</v>
      </c>
      <c r="F25" s="59">
        <f>177693.84+9046.24</f>
        <v>186740.08</v>
      </c>
      <c r="G25" s="59">
        <f t="shared" si="0"/>
        <v>595383.57000000007</v>
      </c>
    </row>
    <row r="26" spans="1:7" s="60" customFormat="1" x14ac:dyDescent="0.25">
      <c r="A26" s="58"/>
      <c r="B26" s="59"/>
      <c r="C26" s="59"/>
      <c r="D26" s="59"/>
      <c r="E26" s="59"/>
      <c r="F26" s="59"/>
      <c r="G26" s="59">
        <f t="shared" si="0"/>
        <v>0</v>
      </c>
    </row>
    <row r="27" spans="1:7" s="51" customFormat="1" x14ac:dyDescent="0.25">
      <c r="A27" s="62" t="s">
        <v>65</v>
      </c>
      <c r="B27" s="63">
        <f>B25/25.44</f>
        <v>7576.4532232704396</v>
      </c>
      <c r="C27" s="63">
        <f>C25/25.44</f>
        <v>4226.1914308176101</v>
      </c>
      <c r="D27" s="63">
        <f>D25/25.44</f>
        <v>2586.3926886792451</v>
      </c>
      <c r="E27" s="63">
        <f>E25/25.44</f>
        <v>1673.9929245283017</v>
      </c>
      <c r="F27" s="63">
        <f>F25/25.44</f>
        <v>7340.4119496855337</v>
      </c>
      <c r="G27" s="59">
        <f t="shared" si="0"/>
        <v>23403.44221698113</v>
      </c>
    </row>
    <row r="28" spans="1:7" s="51" customFormat="1" x14ac:dyDescent="0.25">
      <c r="A28" s="62"/>
      <c r="B28" s="63"/>
      <c r="C28" s="63"/>
      <c r="D28" s="63"/>
      <c r="E28" s="63"/>
      <c r="F28" s="63"/>
      <c r="G28" s="59">
        <f t="shared" si="0"/>
        <v>0</v>
      </c>
    </row>
    <row r="29" spans="1:7" s="51" customFormat="1" x14ac:dyDescent="0.25">
      <c r="A29" s="62" t="s">
        <v>34</v>
      </c>
      <c r="B29" s="63">
        <f>133529.16+5590.31</f>
        <v>139119.47</v>
      </c>
      <c r="C29" s="63">
        <f>70831.27+3285.25</f>
        <v>74116.52</v>
      </c>
      <c r="D29" s="63">
        <f>47229.39+2401.95</f>
        <v>49631.34</v>
      </c>
      <c r="E29" s="63">
        <f>1542.11+31195.5</f>
        <v>32737.61</v>
      </c>
      <c r="F29" s="63">
        <f>6542.28+128508.91</f>
        <v>135051.19</v>
      </c>
      <c r="G29" s="59">
        <f t="shared" si="0"/>
        <v>430656.12999999995</v>
      </c>
    </row>
    <row r="30" spans="1:7" s="51" customFormat="1" x14ac:dyDescent="0.25">
      <c r="A30" s="62"/>
      <c r="B30" s="63"/>
      <c r="C30" s="63"/>
      <c r="D30" s="63"/>
      <c r="E30" s="63"/>
      <c r="F30" s="63"/>
      <c r="G30" s="59">
        <f t="shared" si="0"/>
        <v>0</v>
      </c>
    </row>
    <row r="31" spans="1:7" s="51" customFormat="1" x14ac:dyDescent="0.25">
      <c r="A31" s="62" t="s">
        <v>35</v>
      </c>
      <c r="B31" s="63">
        <f>51781.12-310.47+2167.86-13</f>
        <v>53625.51</v>
      </c>
      <c r="C31" s="63">
        <f>33155.93-1238.46-57.44+1537.82</f>
        <v>33397.850000000006</v>
      </c>
      <c r="D31" s="63">
        <f>15620.45-236.34+794.41-12.02</f>
        <v>16166.5</v>
      </c>
      <c r="E31" s="63">
        <f>9702.7-317.86+479.64-15.71</f>
        <v>9848.77</v>
      </c>
      <c r="F31" s="63">
        <f>50565.91-1380.99+2574.27-70.3</f>
        <v>51688.89</v>
      </c>
      <c r="G31" s="59">
        <f t="shared" si="0"/>
        <v>164727.52000000002</v>
      </c>
    </row>
    <row r="32" spans="1:7" s="51" customFormat="1" x14ac:dyDescent="0.25">
      <c r="A32" s="62"/>
      <c r="B32" s="63">
        <f t="shared" ref="B32:C32" si="3">B25-B29-B31</f>
        <v>-1.0000000002037268E-2</v>
      </c>
      <c r="C32" s="63">
        <f t="shared" si="3"/>
        <v>-6.0000000012223609E-2</v>
      </c>
      <c r="D32" s="63">
        <f>D25-D29-D31</f>
        <v>-9.9999999947613105E-3</v>
      </c>
      <c r="E32" s="63">
        <f t="shared" ref="E32:F32" si="4">E25-E29-E31</f>
        <v>0</v>
      </c>
      <c r="F32" s="63">
        <f t="shared" si="4"/>
        <v>0</v>
      </c>
      <c r="G32" s="59">
        <f t="shared" si="0"/>
        <v>-8.0000000009022187E-2</v>
      </c>
    </row>
    <row r="33" spans="1:7" s="51" customFormat="1" x14ac:dyDescent="0.25">
      <c r="A33" s="62" t="s">
        <v>36</v>
      </c>
      <c r="B33" s="63">
        <v>235581.81</v>
      </c>
      <c r="C33" s="63">
        <v>106953.12</v>
      </c>
      <c r="D33" s="63">
        <v>66985.63</v>
      </c>
      <c r="E33" s="63">
        <v>49965.73</v>
      </c>
      <c r="F33" s="63">
        <v>190373.51</v>
      </c>
      <c r="G33" s="59">
        <f t="shared" si="0"/>
        <v>649859.80000000005</v>
      </c>
    </row>
    <row r="34" spans="1:7" s="51" customFormat="1" x14ac:dyDescent="0.25">
      <c r="A34" s="62"/>
      <c r="B34" s="63"/>
      <c r="C34" s="63"/>
      <c r="D34" s="63"/>
      <c r="E34" s="63"/>
      <c r="F34" s="63"/>
      <c r="G34" s="59">
        <f t="shared" si="0"/>
        <v>0</v>
      </c>
    </row>
    <row r="35" spans="1:7" s="51" customFormat="1" x14ac:dyDescent="0.25">
      <c r="A35" s="62" t="s">
        <v>37</v>
      </c>
      <c r="B35" s="63">
        <f>B33-B37</f>
        <v>0</v>
      </c>
      <c r="C35" s="63">
        <f>C33-C37</f>
        <v>0</v>
      </c>
      <c r="D35" s="63">
        <f>D33-D37</f>
        <v>0</v>
      </c>
      <c r="E35" s="63">
        <f>E33-E37</f>
        <v>0</v>
      </c>
      <c r="F35" s="63">
        <f>F33-F37</f>
        <v>0</v>
      </c>
      <c r="G35" s="59">
        <f t="shared" si="0"/>
        <v>0</v>
      </c>
    </row>
    <row r="36" spans="1:7" s="51" customFormat="1" x14ac:dyDescent="0.25">
      <c r="A36" s="62"/>
      <c r="B36" s="63"/>
      <c r="C36" s="63"/>
      <c r="D36" s="63"/>
      <c r="E36" s="63"/>
      <c r="F36" s="63"/>
      <c r="G36" s="59">
        <f t="shared" si="0"/>
        <v>0</v>
      </c>
    </row>
    <row r="37" spans="1:7" s="51" customFormat="1" x14ac:dyDescent="0.25">
      <c r="A37" s="62" t="s">
        <v>38</v>
      </c>
      <c r="B37" s="63">
        <f>'Данные по УК'!B11</f>
        <v>235581.81</v>
      </c>
      <c r="C37" s="63">
        <f>'Данные по УК'!C11</f>
        <v>106953.12</v>
      </c>
      <c r="D37" s="63">
        <f>'Данные по УК'!D11</f>
        <v>66985.63</v>
      </c>
      <c r="E37" s="63">
        <f>'Данные по УК'!E11</f>
        <v>49965.729999999996</v>
      </c>
      <c r="F37" s="63">
        <f>'Данные по УК'!F11</f>
        <v>190373.50999999998</v>
      </c>
      <c r="G37" s="59">
        <f t="shared" si="0"/>
        <v>649859.79999999993</v>
      </c>
    </row>
    <row r="38" spans="1:7" s="51" customFormat="1" x14ac:dyDescent="0.25">
      <c r="A38" s="62"/>
      <c r="B38" s="63"/>
      <c r="C38" s="63"/>
      <c r="D38" s="63"/>
      <c r="E38" s="63"/>
      <c r="F38" s="63"/>
      <c r="G38" s="59">
        <f t="shared" si="0"/>
        <v>0</v>
      </c>
    </row>
    <row r="39" spans="1:7" s="51" customFormat="1" x14ac:dyDescent="0.25">
      <c r="A39" s="62" t="s">
        <v>39</v>
      </c>
      <c r="B39" s="63"/>
      <c r="C39" s="63"/>
      <c r="D39" s="63"/>
      <c r="E39" s="63"/>
      <c r="F39" s="63"/>
      <c r="G39" s="59">
        <f t="shared" si="0"/>
        <v>0</v>
      </c>
    </row>
    <row r="40" spans="1:7" s="51" customFormat="1" x14ac:dyDescent="0.25">
      <c r="A40" s="62"/>
      <c r="B40" s="63"/>
      <c r="C40" s="63"/>
      <c r="D40" s="63"/>
      <c r="E40" s="63"/>
      <c r="F40" s="63"/>
      <c r="G40" s="59">
        <f t="shared" si="0"/>
        <v>0</v>
      </c>
    </row>
    <row r="41" spans="1:7" s="65" customFormat="1" x14ac:dyDescent="0.25">
      <c r="A41" s="58" t="s">
        <v>43</v>
      </c>
      <c r="B41" s="64"/>
      <c r="C41" s="64"/>
      <c r="D41" s="64"/>
      <c r="E41" s="64"/>
      <c r="F41" s="64"/>
      <c r="G41" s="59">
        <f t="shared" si="0"/>
        <v>0</v>
      </c>
    </row>
    <row r="42" spans="1:7" s="60" customFormat="1" x14ac:dyDescent="0.25">
      <c r="A42" s="61" t="s">
        <v>68</v>
      </c>
      <c r="B42" s="59">
        <v>1142235.27</v>
      </c>
      <c r="C42" s="59">
        <v>673287.75</v>
      </c>
      <c r="D42" s="59">
        <v>383841.69</v>
      </c>
      <c r="E42" s="59">
        <v>325703.71000000002</v>
      </c>
      <c r="F42" s="59">
        <v>1055630.1100000001</v>
      </c>
      <c r="G42" s="59">
        <f t="shared" si="0"/>
        <v>3580698.5300000003</v>
      </c>
    </row>
    <row r="43" spans="1:7" s="60" customFormat="1" x14ac:dyDescent="0.25">
      <c r="A43" s="58"/>
      <c r="B43" s="59"/>
      <c r="C43" s="59"/>
      <c r="D43" s="59"/>
      <c r="E43" s="59"/>
      <c r="F43" s="59"/>
      <c r="G43" s="59">
        <f t="shared" si="0"/>
        <v>0</v>
      </c>
    </row>
    <row r="44" spans="1:7" s="51" customFormat="1" x14ac:dyDescent="0.25">
      <c r="A44" s="62" t="s">
        <v>66</v>
      </c>
      <c r="B44" s="63">
        <f>B42/1621.95</f>
        <v>704.23580874872835</v>
      </c>
      <c r="C44" s="63">
        <f>C42/1621.95</f>
        <v>415.11005271432532</v>
      </c>
      <c r="D44" s="63">
        <f>D42/1621.95</f>
        <v>236.6544529732729</v>
      </c>
      <c r="E44" s="63">
        <f>E42/1621.95</f>
        <v>200.80995715034373</v>
      </c>
      <c r="F44" s="63">
        <f>F42/1621.95</f>
        <v>650.84010604519256</v>
      </c>
      <c r="G44" s="59">
        <f t="shared" si="0"/>
        <v>2207.6503776318627</v>
      </c>
    </row>
    <row r="45" spans="1:7" s="51" customFormat="1" x14ac:dyDescent="0.25">
      <c r="A45" s="62"/>
      <c r="B45" s="63"/>
      <c r="C45" s="63"/>
      <c r="D45" s="63"/>
      <c r="E45" s="63"/>
      <c r="F45" s="63"/>
      <c r="G45" s="59">
        <f t="shared" si="0"/>
        <v>0</v>
      </c>
    </row>
    <row r="46" spans="1:7" s="51" customFormat="1" x14ac:dyDescent="0.25">
      <c r="A46" s="62" t="s">
        <v>34</v>
      </c>
      <c r="B46" s="63">
        <f>824442.59</f>
        <v>824442.59</v>
      </c>
      <c r="C46" s="63">
        <v>464140.46</v>
      </c>
      <c r="D46" s="63">
        <f>289531.99</f>
        <v>289531.99</v>
      </c>
      <c r="E46" s="63">
        <f>250379.62</f>
        <v>250379.62</v>
      </c>
      <c r="F46" s="63">
        <f>763436.02</f>
        <v>763436.02</v>
      </c>
      <c r="G46" s="59">
        <f t="shared" si="0"/>
        <v>2591930.6800000002</v>
      </c>
    </row>
    <row r="47" spans="1:7" s="51" customFormat="1" x14ac:dyDescent="0.25">
      <c r="A47" s="62"/>
      <c r="B47" s="63"/>
      <c r="C47" s="63"/>
      <c r="D47" s="63"/>
      <c r="E47" s="63"/>
      <c r="F47" s="63"/>
      <c r="G47" s="59">
        <f t="shared" si="0"/>
        <v>0</v>
      </c>
    </row>
    <row r="48" spans="1:7" s="51" customFormat="1" x14ac:dyDescent="0.25">
      <c r="A48" s="62" t="s">
        <v>35</v>
      </c>
      <c r="B48" s="63">
        <f>319709.62-1916.94</f>
        <v>317792.68</v>
      </c>
      <c r="C48" s="63">
        <f>217262.9-8115.35</f>
        <v>209147.55</v>
      </c>
      <c r="D48" s="63">
        <f>95758.58-1448.87</f>
        <v>94309.71</v>
      </c>
      <c r="E48" s="63">
        <f>77875.26-2551.17</f>
        <v>75324.09</v>
      </c>
      <c r="F48" s="63">
        <f>300398.15-8204.06</f>
        <v>292194.09000000003</v>
      </c>
      <c r="G48" s="59">
        <f t="shared" si="0"/>
        <v>988768.11999999988</v>
      </c>
    </row>
    <row r="49" spans="1:7" s="51" customFormat="1" x14ac:dyDescent="0.25">
      <c r="A49" s="62"/>
      <c r="B49" s="68">
        <f t="shared" ref="B49:C49" si="5">B42-B46-B48</f>
        <v>0</v>
      </c>
      <c r="C49" s="68">
        <f t="shared" si="5"/>
        <v>-0.26000000000931323</v>
      </c>
      <c r="D49" s="68">
        <f>D42-D46-D48</f>
        <v>-9.9999999947613105E-3</v>
      </c>
      <c r="E49" s="68">
        <f t="shared" ref="E49:F49" si="6">E42-E46-E48</f>
        <v>0</v>
      </c>
      <c r="F49" s="68">
        <f t="shared" si="6"/>
        <v>0</v>
      </c>
      <c r="G49" s="69">
        <f t="shared" si="0"/>
        <v>-0.27000000000407454</v>
      </c>
    </row>
    <row r="50" spans="1:7" s="51" customFormat="1" x14ac:dyDescent="0.25">
      <c r="A50" s="62" t="s">
        <v>36</v>
      </c>
      <c r="B50" s="63">
        <v>1136711.22</v>
      </c>
      <c r="C50" s="63">
        <v>668275.84</v>
      </c>
      <c r="D50" s="63">
        <v>382390.93</v>
      </c>
      <c r="E50" s="63">
        <v>324276.46000000002</v>
      </c>
      <c r="F50" s="63">
        <v>1052759.0900000001</v>
      </c>
      <c r="G50" s="59">
        <f t="shared" si="0"/>
        <v>3564413.54</v>
      </c>
    </row>
    <row r="51" spans="1:7" s="51" customFormat="1" x14ac:dyDescent="0.25">
      <c r="A51" s="62"/>
      <c r="B51" s="63"/>
      <c r="C51" s="63"/>
      <c r="D51" s="63"/>
      <c r="E51" s="63"/>
      <c r="F51" s="63"/>
      <c r="G51" s="59">
        <f t="shared" si="0"/>
        <v>0</v>
      </c>
    </row>
    <row r="52" spans="1:7" s="51" customFormat="1" x14ac:dyDescent="0.25">
      <c r="A52" s="62" t="s">
        <v>37</v>
      </c>
      <c r="B52" s="63">
        <f>B50-B54</f>
        <v>0</v>
      </c>
      <c r="C52" s="63">
        <f>C50-C54</f>
        <v>0</v>
      </c>
      <c r="D52" s="63">
        <f>D50-D54</f>
        <v>0</v>
      </c>
      <c r="E52" s="63">
        <f>E50-E54</f>
        <v>0</v>
      </c>
      <c r="F52" s="63">
        <f>F50-F54</f>
        <v>0</v>
      </c>
      <c r="G52" s="59">
        <f t="shared" si="0"/>
        <v>0</v>
      </c>
    </row>
    <row r="53" spans="1:7" s="51" customFormat="1" x14ac:dyDescent="0.25">
      <c r="A53" s="62"/>
      <c r="B53" s="63"/>
      <c r="C53" s="63"/>
      <c r="D53" s="63"/>
      <c r="E53" s="63"/>
      <c r="F53" s="63"/>
      <c r="G53" s="59">
        <f t="shared" si="0"/>
        <v>0</v>
      </c>
    </row>
    <row r="54" spans="1:7" s="51" customFormat="1" x14ac:dyDescent="0.25">
      <c r="A54" s="62" t="s">
        <v>38</v>
      </c>
      <c r="B54" s="63">
        <f>'Данные по УК'!B7</f>
        <v>1136711.22</v>
      </c>
      <c r="C54" s="63">
        <f>'Данные по УК'!C7</f>
        <v>668275.84</v>
      </c>
      <c r="D54" s="63">
        <f>'Данные по УК'!D7</f>
        <v>382390.93</v>
      </c>
      <c r="E54" s="63">
        <f>'Данные по УК'!E7</f>
        <v>324276.45999999996</v>
      </c>
      <c r="F54" s="63">
        <f>'Данные по УК'!F7</f>
        <v>1052759.0900000001</v>
      </c>
      <c r="G54" s="59">
        <f t="shared" si="0"/>
        <v>3564413.54</v>
      </c>
    </row>
    <row r="55" spans="1:7" s="51" customFormat="1" x14ac:dyDescent="0.25">
      <c r="A55" s="62"/>
      <c r="B55" s="63"/>
      <c r="C55" s="63"/>
      <c r="D55" s="63"/>
      <c r="E55" s="63"/>
      <c r="F55" s="63"/>
      <c r="G55" s="59">
        <f t="shared" si="0"/>
        <v>0</v>
      </c>
    </row>
    <row r="56" spans="1:7" s="51" customFormat="1" x14ac:dyDescent="0.25">
      <c r="A56" s="62" t="s">
        <v>39</v>
      </c>
      <c r="B56" s="63"/>
      <c r="C56" s="63"/>
      <c r="D56" s="63"/>
      <c r="E56" s="63"/>
      <c r="F56" s="63"/>
      <c r="G56" s="59">
        <f t="shared" si="0"/>
        <v>0</v>
      </c>
    </row>
    <row r="57" spans="1:7" s="51" customFormat="1" x14ac:dyDescent="0.25">
      <c r="A57" s="62"/>
      <c r="B57" s="63"/>
      <c r="C57" s="63"/>
      <c r="D57" s="63"/>
      <c r="E57" s="63"/>
      <c r="F57" s="63"/>
      <c r="G57" s="59">
        <f t="shared" si="0"/>
        <v>0</v>
      </c>
    </row>
    <row r="58" spans="1:7" s="65" customFormat="1" x14ac:dyDescent="0.25">
      <c r="A58" s="58" t="s">
        <v>44</v>
      </c>
      <c r="B58" s="64"/>
      <c r="C58" s="64"/>
      <c r="D58" s="64"/>
      <c r="E58" s="64"/>
      <c r="F58" s="64"/>
      <c r="G58" s="59">
        <f t="shared" si="0"/>
        <v>0</v>
      </c>
    </row>
    <row r="59" spans="1:7" s="60" customFormat="1" x14ac:dyDescent="0.25">
      <c r="A59" s="61" t="s">
        <v>68</v>
      </c>
      <c r="B59" s="59">
        <f>450374.86+18855.51</f>
        <v>469230.37</v>
      </c>
      <c r="C59" s="59">
        <f>268936.26+11601.39</f>
        <v>280537.65000000002</v>
      </c>
      <c r="D59" s="59">
        <f>166537.73+7751.99</f>
        <v>174289.72</v>
      </c>
      <c r="E59" s="59">
        <f>103524.32+4883.27</f>
        <v>108407.59000000001</v>
      </c>
      <c r="F59" s="59">
        <f>463229.08+22022.12</f>
        <v>485251.2</v>
      </c>
      <c r="G59" s="59">
        <f t="shared" si="0"/>
        <v>1517716.53</v>
      </c>
    </row>
    <row r="60" spans="1:7" s="60" customFormat="1" x14ac:dyDescent="0.25">
      <c r="A60" s="58"/>
      <c r="B60" s="59"/>
      <c r="C60" s="59"/>
      <c r="D60" s="59"/>
      <c r="E60" s="59"/>
      <c r="F60" s="59"/>
      <c r="G60" s="59">
        <f t="shared" si="0"/>
        <v>0</v>
      </c>
    </row>
    <row r="61" spans="1:7" s="51" customFormat="1" x14ac:dyDescent="0.25">
      <c r="A61" s="62" t="s">
        <v>66</v>
      </c>
      <c r="B61" s="63">
        <f>B59/97.32</f>
        <v>4821.5204480065768</v>
      </c>
      <c r="C61" s="63">
        <f>C59/97.32</f>
        <v>2882.6310110974109</v>
      </c>
      <c r="D61" s="63">
        <f>D59/97.32</f>
        <v>1790.8931360460338</v>
      </c>
      <c r="E61" s="63">
        <f>E59/97.32</f>
        <v>1113.9292026304975</v>
      </c>
      <c r="F61" s="63">
        <f>F59/97.32</f>
        <v>4986.1405672009869</v>
      </c>
      <c r="G61" s="59">
        <f t="shared" si="0"/>
        <v>15595.114364981506</v>
      </c>
    </row>
    <row r="62" spans="1:7" s="51" customFormat="1" x14ac:dyDescent="0.25">
      <c r="A62" s="62"/>
      <c r="B62" s="63"/>
      <c r="C62" s="63"/>
      <c r="D62" s="63"/>
      <c r="E62" s="63"/>
      <c r="F62" s="63"/>
      <c r="G62" s="59">
        <f t="shared" si="0"/>
        <v>0</v>
      </c>
    </row>
    <row r="63" spans="1:7" s="51" customFormat="1" x14ac:dyDescent="0.25">
      <c r="A63" s="62" t="s">
        <v>34</v>
      </c>
      <c r="B63" s="63">
        <f>13609.53+325071.57</f>
        <v>338681.10000000003</v>
      </c>
      <c r="C63" s="63">
        <f>185395.03+7997.58</f>
        <v>193392.61</v>
      </c>
      <c r="D63" s="63">
        <f>125619.5+5847.33</f>
        <v>131466.82999999999</v>
      </c>
      <c r="E63" s="63">
        <f>3753.94+79582.7</f>
        <v>83336.639999999999</v>
      </c>
      <c r="F63" s="63">
        <f>335009.17+15926.49</f>
        <v>350935.66</v>
      </c>
      <c r="G63" s="59">
        <f t="shared" si="0"/>
        <v>1097812.8399999999</v>
      </c>
    </row>
    <row r="64" spans="1:7" s="51" customFormat="1" x14ac:dyDescent="0.25">
      <c r="A64" s="62"/>
      <c r="B64" s="63"/>
      <c r="C64" s="63"/>
      <c r="D64" s="63"/>
      <c r="E64" s="63"/>
      <c r="F64" s="63"/>
      <c r="G64" s="59">
        <f t="shared" si="0"/>
        <v>0</v>
      </c>
    </row>
    <row r="65" spans="1:7" s="51" customFormat="1" x14ac:dyDescent="0.25">
      <c r="A65" s="62" t="s">
        <v>35</v>
      </c>
      <c r="B65" s="63">
        <f>126059.12-755.83+5277.62-31.64</f>
        <v>130549.26999999999</v>
      </c>
      <c r="C65" s="63">
        <f>86782.91-3241.57+3743.65-139.84</f>
        <v>87145.15</v>
      </c>
      <c r="D65" s="63">
        <f>1933.92-29.26+41546.86-628.62</f>
        <v>42822.9</v>
      </c>
      <c r="E65" s="63">
        <f>24752.51-810.88+1167.58-38.25</f>
        <v>25070.959999999999</v>
      </c>
      <c r="F65" s="63">
        <f>131820-3600.08+6266.78-171.15</f>
        <v>134315.55000000002</v>
      </c>
      <c r="G65" s="59">
        <f t="shared" si="0"/>
        <v>419903.82999999996</v>
      </c>
    </row>
    <row r="66" spans="1:7" s="51" customFormat="1" x14ac:dyDescent="0.25">
      <c r="A66" s="62"/>
      <c r="B66" s="68">
        <f t="shared" ref="B66:C66" si="7">B59-B63-B65</f>
        <v>0</v>
      </c>
      <c r="C66" s="68">
        <f t="shared" si="7"/>
        <v>-0.10999999995692633</v>
      </c>
      <c r="D66" s="68">
        <f>D59-D63-D65</f>
        <v>-9.9999999874853529E-3</v>
      </c>
      <c r="E66" s="68">
        <f t="shared" ref="E66:F66" si="8">E59-E63-E65</f>
        <v>-9.9999999874853529E-3</v>
      </c>
      <c r="F66" s="68">
        <f t="shared" si="8"/>
        <v>-9.9999999802093953E-3</v>
      </c>
      <c r="G66" s="69">
        <f t="shared" si="0"/>
        <v>-0.13999999991210643</v>
      </c>
    </row>
    <row r="67" spans="1:7" s="51" customFormat="1" x14ac:dyDescent="0.25">
      <c r="A67" s="62" t="s">
        <v>36</v>
      </c>
      <c r="B67" s="63">
        <v>463520.87</v>
      </c>
      <c r="C67" s="63">
        <v>254321.75</v>
      </c>
      <c r="D67" s="63">
        <v>152317.32999999999</v>
      </c>
      <c r="E67" s="63">
        <v>115190.89</v>
      </c>
      <c r="F67" s="63">
        <v>444690.03</v>
      </c>
      <c r="G67" s="59">
        <f t="shared" si="0"/>
        <v>1430040.87</v>
      </c>
    </row>
    <row r="68" spans="1:7" s="51" customFormat="1" x14ac:dyDescent="0.25">
      <c r="A68" s="62"/>
      <c r="B68" s="63"/>
      <c r="C68" s="63"/>
      <c r="D68" s="63"/>
      <c r="E68" s="63"/>
      <c r="F68" s="63"/>
      <c r="G68" s="59">
        <f t="shared" si="0"/>
        <v>0</v>
      </c>
    </row>
    <row r="69" spans="1:7" s="51" customFormat="1" x14ac:dyDescent="0.25">
      <c r="A69" s="62" t="s">
        <v>37</v>
      </c>
      <c r="B69" s="63">
        <f>B67-B71</f>
        <v>0</v>
      </c>
      <c r="C69" s="63">
        <f>C67-C71</f>
        <v>0</v>
      </c>
      <c r="D69" s="63">
        <f>D67-D71</f>
        <v>0</v>
      </c>
      <c r="E69" s="63">
        <f>E67-E71</f>
        <v>0</v>
      </c>
      <c r="F69" s="63">
        <f>F67-F71</f>
        <v>0</v>
      </c>
      <c r="G69" s="59">
        <f t="shared" si="0"/>
        <v>0</v>
      </c>
    </row>
    <row r="70" spans="1:7" s="51" customFormat="1" x14ac:dyDescent="0.25">
      <c r="A70" s="62"/>
      <c r="B70" s="63"/>
      <c r="C70" s="63"/>
      <c r="D70" s="63"/>
      <c r="E70" s="63"/>
      <c r="F70" s="63"/>
      <c r="G70" s="59">
        <f t="shared" si="0"/>
        <v>0</v>
      </c>
    </row>
    <row r="71" spans="1:7" s="51" customFormat="1" x14ac:dyDescent="0.25">
      <c r="A71" s="62" t="s">
        <v>38</v>
      </c>
      <c r="B71" s="63">
        <f>'Данные по УК'!B10</f>
        <v>463520.86999999994</v>
      </c>
      <c r="C71" s="63">
        <f>'Данные по УК'!C10</f>
        <v>254321.75</v>
      </c>
      <c r="D71" s="63">
        <f>'Данные по УК'!D10</f>
        <v>152317.33000000002</v>
      </c>
      <c r="E71" s="63">
        <f>'Данные по УК'!E10</f>
        <v>115190.88999999998</v>
      </c>
      <c r="F71" s="63">
        <f>'Данные по УК'!F10</f>
        <v>444690.03</v>
      </c>
      <c r="G71" s="59">
        <f t="shared" si="0"/>
        <v>1430040.87</v>
      </c>
    </row>
    <row r="72" spans="1:7" s="51" customFormat="1" x14ac:dyDescent="0.25">
      <c r="A72" s="62"/>
      <c r="B72" s="63"/>
      <c r="C72" s="63"/>
      <c r="D72" s="63"/>
      <c r="E72" s="63"/>
      <c r="F72" s="63"/>
      <c r="G72" s="59">
        <f t="shared" ref="G72:G91" si="9">SUM(B72:F72)</f>
        <v>0</v>
      </c>
    </row>
    <row r="73" spans="1:7" s="51" customFormat="1" x14ac:dyDescent="0.25">
      <c r="A73" s="62" t="s">
        <v>39</v>
      </c>
      <c r="B73" s="63"/>
      <c r="C73" s="63"/>
      <c r="D73" s="63"/>
      <c r="E73" s="63"/>
      <c r="F73" s="63"/>
      <c r="G73" s="59">
        <f t="shared" si="9"/>
        <v>0</v>
      </c>
    </row>
    <row r="74" spans="1:7" s="51" customFormat="1" x14ac:dyDescent="0.25">
      <c r="A74" s="62"/>
      <c r="B74" s="63"/>
      <c r="C74" s="63"/>
      <c r="D74" s="63"/>
      <c r="E74" s="63"/>
      <c r="F74" s="63"/>
      <c r="G74" s="59">
        <f t="shared" si="9"/>
        <v>0</v>
      </c>
    </row>
    <row r="75" spans="1:7" s="65" customFormat="1" x14ac:dyDescent="0.25">
      <c r="A75" s="58" t="s">
        <v>45</v>
      </c>
      <c r="B75" s="64"/>
      <c r="C75" s="64"/>
      <c r="D75" s="64"/>
      <c r="E75" s="64"/>
      <c r="F75" s="64"/>
      <c r="G75" s="59">
        <f t="shared" si="9"/>
        <v>0</v>
      </c>
    </row>
    <row r="76" spans="1:7" s="60" customFormat="1" x14ac:dyDescent="0.25">
      <c r="A76" s="61" t="s">
        <v>68</v>
      </c>
      <c r="B76" s="59">
        <v>302864.07</v>
      </c>
      <c r="C76" s="59">
        <v>173249.64</v>
      </c>
      <c r="D76" s="59">
        <v>106299.42</v>
      </c>
      <c r="E76" s="59">
        <v>67678.64</v>
      </c>
      <c r="F76" s="59">
        <v>299359.56</v>
      </c>
      <c r="G76" s="59">
        <f t="shared" si="9"/>
        <v>949451.33000000007</v>
      </c>
    </row>
    <row r="77" spans="1:7" s="60" customFormat="1" x14ac:dyDescent="0.25">
      <c r="A77" s="58"/>
      <c r="B77" s="59"/>
      <c r="C77" s="59"/>
      <c r="D77" s="59"/>
      <c r="E77" s="59"/>
      <c r="F77" s="59"/>
      <c r="G77" s="59">
        <f t="shared" si="9"/>
        <v>0</v>
      </c>
    </row>
    <row r="78" spans="1:7" s="51" customFormat="1" x14ac:dyDescent="0.25">
      <c r="A78" s="62" t="s">
        <v>65</v>
      </c>
      <c r="B78" s="63">
        <f>B76/25-44</f>
        <v>12070.5628</v>
      </c>
      <c r="C78" s="63">
        <f>C76/25.44</f>
        <v>6810.1273584905666</v>
      </c>
      <c r="D78" s="63">
        <f>D76/25.44</f>
        <v>4178.4363207547167</v>
      </c>
      <c r="E78" s="63">
        <f>E76/25.44</f>
        <v>2660.3238993710688</v>
      </c>
      <c r="F78" s="63">
        <f>F76/25.44</f>
        <v>11767.278301886792</v>
      </c>
      <c r="G78" s="59">
        <f t="shared" si="9"/>
        <v>37486.728680503147</v>
      </c>
    </row>
    <row r="79" spans="1:7" s="51" customFormat="1" x14ac:dyDescent="0.25">
      <c r="A79" s="62"/>
      <c r="B79" s="63"/>
      <c r="C79" s="63"/>
      <c r="D79" s="63"/>
      <c r="E79" s="63"/>
      <c r="F79" s="63"/>
      <c r="G79" s="59">
        <f t="shared" si="9"/>
        <v>0</v>
      </c>
    </row>
    <row r="80" spans="1:7" s="51" customFormat="1" x14ac:dyDescent="0.25">
      <c r="A80" s="62" t="s">
        <v>34</v>
      </c>
      <c r="B80" s="63">
        <f>218601.23</f>
        <v>218601.23</v>
      </c>
      <c r="C80" s="63">
        <v>119432.1</v>
      </c>
      <c r="D80" s="63">
        <v>80181.710000000006</v>
      </c>
      <c r="E80" s="63">
        <v>52026.89</v>
      </c>
      <c r="F80" s="63">
        <v>216498.06</v>
      </c>
      <c r="G80" s="59">
        <f t="shared" si="9"/>
        <v>686739.99</v>
      </c>
    </row>
    <row r="81" spans="1:7" s="51" customFormat="1" x14ac:dyDescent="0.25">
      <c r="A81" s="62"/>
      <c r="B81" s="63"/>
      <c r="C81" s="63"/>
      <c r="D81" s="63"/>
      <c r="E81" s="63"/>
      <c r="F81" s="63"/>
      <c r="G81" s="59">
        <f t="shared" si="9"/>
        <v>0</v>
      </c>
    </row>
    <row r="82" spans="1:7" s="51" customFormat="1" x14ac:dyDescent="0.25">
      <c r="A82" s="62" t="s">
        <v>35</v>
      </c>
      <c r="B82" s="63">
        <f>84771.11-508.28</f>
        <v>84262.83</v>
      </c>
      <c r="C82" s="63">
        <f>55905.84-2088.23</f>
        <v>53817.609999999993</v>
      </c>
      <c r="D82" s="63">
        <f>26518.96-401.24</f>
        <v>26117.719999999998</v>
      </c>
      <c r="E82" s="63">
        <f>16181.86-530.11</f>
        <v>15651.75</v>
      </c>
      <c r="F82" s="63">
        <f>85188.04-2326.54</f>
        <v>82861.5</v>
      </c>
      <c r="G82" s="59">
        <f t="shared" si="9"/>
        <v>262711.41000000003</v>
      </c>
    </row>
    <row r="83" spans="1:7" s="51" customFormat="1" x14ac:dyDescent="0.25">
      <c r="A83" s="62"/>
      <c r="B83" s="68">
        <f t="shared" ref="B83:C83" si="10">B76-B80-B82</f>
        <v>9.9999999947613105E-3</v>
      </c>
      <c r="C83" s="68">
        <f t="shared" si="10"/>
        <v>-6.9999999985157046E-2</v>
      </c>
      <c r="D83" s="68">
        <f>D76-D80-D82</f>
        <v>-1.0000000005675247E-2</v>
      </c>
      <c r="E83" s="68">
        <f t="shared" ref="E83:F83" si="11">E76-E80-E82</f>
        <v>0</v>
      </c>
      <c r="F83" s="68">
        <f t="shared" si="11"/>
        <v>0</v>
      </c>
      <c r="G83" s="69">
        <f t="shared" si="9"/>
        <v>-6.9999999996070983E-2</v>
      </c>
    </row>
    <row r="84" spans="1:7" s="51" customFormat="1" x14ac:dyDescent="0.25">
      <c r="A84" s="62" t="s">
        <v>36</v>
      </c>
      <c r="B84" s="63">
        <v>362223.57</v>
      </c>
      <c r="C84" s="63">
        <v>178209.49</v>
      </c>
      <c r="D84" s="63">
        <v>110890.33</v>
      </c>
      <c r="E84" s="63">
        <v>83762.55</v>
      </c>
      <c r="F84" s="63">
        <v>313448.46999999997</v>
      </c>
      <c r="G84" s="59">
        <f t="shared" si="9"/>
        <v>1048534.41</v>
      </c>
    </row>
    <row r="85" spans="1:7" s="51" customFormat="1" x14ac:dyDescent="0.25">
      <c r="A85" s="62"/>
      <c r="B85" s="63"/>
      <c r="C85" s="63"/>
      <c r="D85" s="63"/>
      <c r="E85" s="63"/>
      <c r="F85" s="63"/>
      <c r="G85" s="59">
        <f t="shared" si="9"/>
        <v>0</v>
      </c>
    </row>
    <row r="86" spans="1:7" s="51" customFormat="1" x14ac:dyDescent="0.25">
      <c r="A86" s="62" t="s">
        <v>37</v>
      </c>
      <c r="B86" s="63">
        <f>B84-B88</f>
        <v>0</v>
      </c>
      <c r="C86" s="63">
        <f>C84-C88</f>
        <v>0</v>
      </c>
      <c r="D86" s="63">
        <f>D84-D88</f>
        <v>0</v>
      </c>
      <c r="E86" s="63">
        <f>E84-E88</f>
        <v>0</v>
      </c>
      <c r="F86" s="63">
        <f>F84-F88</f>
        <v>0</v>
      </c>
      <c r="G86" s="59">
        <f t="shared" si="9"/>
        <v>0</v>
      </c>
    </row>
    <row r="87" spans="1:7" s="51" customFormat="1" x14ac:dyDescent="0.25">
      <c r="A87" s="62"/>
      <c r="B87" s="63"/>
      <c r="C87" s="63"/>
      <c r="D87" s="63"/>
      <c r="E87" s="63"/>
      <c r="F87" s="63"/>
      <c r="G87" s="59">
        <f t="shared" si="9"/>
        <v>0</v>
      </c>
    </row>
    <row r="88" spans="1:7" s="51" customFormat="1" x14ac:dyDescent="0.25">
      <c r="A88" s="62" t="s">
        <v>38</v>
      </c>
      <c r="B88" s="63">
        <f>'Данные по УК'!B12</f>
        <v>362223.57</v>
      </c>
      <c r="C88" s="63">
        <f>'Данные по УК'!C12</f>
        <v>178209.49</v>
      </c>
      <c r="D88" s="63">
        <f>'Данные по УК'!D12</f>
        <v>110890.32999999999</v>
      </c>
      <c r="E88" s="63">
        <f>'Данные по УК'!E12</f>
        <v>83762.549999999988</v>
      </c>
      <c r="F88" s="63">
        <f>'Данные по УК'!F12</f>
        <v>313448.46999999997</v>
      </c>
      <c r="G88" s="59">
        <f t="shared" si="9"/>
        <v>1048534.4099999999</v>
      </c>
    </row>
    <row r="89" spans="1:7" s="51" customFormat="1" x14ac:dyDescent="0.25">
      <c r="A89" s="62"/>
      <c r="B89" s="63"/>
      <c r="C89" s="63"/>
      <c r="D89" s="63"/>
      <c r="E89" s="63"/>
      <c r="F89" s="63"/>
      <c r="G89" s="59">
        <f t="shared" si="9"/>
        <v>0</v>
      </c>
    </row>
    <row r="90" spans="1:7" s="51" customFormat="1" x14ac:dyDescent="0.25">
      <c r="A90" s="62" t="s">
        <v>39</v>
      </c>
      <c r="B90" s="63"/>
      <c r="C90" s="63"/>
      <c r="D90" s="63"/>
      <c r="E90" s="63"/>
      <c r="F90" s="63"/>
      <c r="G90" s="59">
        <f t="shared" si="9"/>
        <v>0</v>
      </c>
    </row>
    <row r="91" spans="1:7" s="51" customFormat="1" x14ac:dyDescent="0.25">
      <c r="A91" s="66"/>
      <c r="B91" s="63"/>
      <c r="C91" s="63"/>
      <c r="D91" s="63"/>
      <c r="E91" s="63"/>
      <c r="F91" s="63"/>
      <c r="G91" s="59">
        <f t="shared" si="9"/>
        <v>0</v>
      </c>
    </row>
    <row r="92" spans="1:7" s="51" customFormat="1" x14ac:dyDescent="0.25">
      <c r="A92" s="57"/>
      <c r="B92" s="67"/>
      <c r="C92" s="67"/>
      <c r="D92" s="67"/>
      <c r="E92" s="67"/>
      <c r="F92" s="67"/>
      <c r="G92" s="67"/>
    </row>
    <row r="93" spans="1:7" s="51" customFormat="1" x14ac:dyDescent="0.25">
      <c r="A93" s="57"/>
      <c r="B93" s="67"/>
      <c r="C93" s="67"/>
      <c r="D93" s="67"/>
      <c r="E93" s="67"/>
      <c r="F93" s="67"/>
      <c r="G93" s="67"/>
    </row>
  </sheetData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="85" zoomScaleNormal="85" workbookViewId="0">
      <selection activeCell="A32" sqref="A32"/>
    </sheetView>
  </sheetViews>
  <sheetFormatPr defaultRowHeight="15" outlineLevelRow="1" x14ac:dyDescent="0.25"/>
  <cols>
    <col min="1" max="1" width="95.7109375" customWidth="1"/>
    <col min="6" max="6" width="14.140625" customWidth="1"/>
    <col min="7" max="7" width="12.28515625" customWidth="1"/>
    <col min="8" max="8" width="13.28515625" customWidth="1"/>
    <col min="9" max="9" width="13.42578125" customWidth="1"/>
    <col min="10" max="10" width="13.28515625" customWidth="1"/>
    <col min="11" max="11" width="13.7109375" customWidth="1"/>
  </cols>
  <sheetData>
    <row r="1" spans="1:11" x14ac:dyDescent="0.25">
      <c r="A1" s="39" t="s">
        <v>62</v>
      </c>
      <c r="B1" s="39"/>
      <c r="C1" s="39"/>
      <c r="D1" s="39"/>
      <c r="E1" s="39"/>
    </row>
    <row r="2" spans="1:11" x14ac:dyDescent="0.25">
      <c r="A2" s="15"/>
      <c r="B2" s="15"/>
      <c r="C2" s="15"/>
      <c r="D2" s="15"/>
      <c r="E2" s="15"/>
      <c r="F2" s="12"/>
      <c r="G2" s="14"/>
      <c r="H2" s="5"/>
      <c r="I2" s="12"/>
      <c r="J2" s="4"/>
      <c r="K2" s="4"/>
    </row>
    <row r="3" spans="1:11" x14ac:dyDescent="0.25">
      <c r="A3" s="15"/>
      <c r="B3" s="15"/>
      <c r="C3" s="15"/>
      <c r="D3" s="15"/>
      <c r="E3" s="15"/>
      <c r="F3" s="5" t="s">
        <v>74</v>
      </c>
      <c r="G3" s="5" t="s">
        <v>74</v>
      </c>
      <c r="H3" s="12" t="s">
        <v>74</v>
      </c>
      <c r="I3" s="14" t="s">
        <v>72</v>
      </c>
      <c r="J3" s="5" t="s">
        <v>72</v>
      </c>
      <c r="K3" s="5" t="s">
        <v>63</v>
      </c>
    </row>
    <row r="4" spans="1:11" x14ac:dyDescent="0.25">
      <c r="A4" s="15"/>
      <c r="B4" s="15"/>
      <c r="C4" s="15"/>
      <c r="D4" s="15"/>
      <c r="E4" s="15"/>
      <c r="F4" s="5" t="s">
        <v>69</v>
      </c>
      <c r="G4" s="5" t="s">
        <v>70</v>
      </c>
      <c r="H4" s="12" t="s">
        <v>71</v>
      </c>
      <c r="I4" s="5" t="s">
        <v>73</v>
      </c>
      <c r="J4" s="5" t="s">
        <v>75</v>
      </c>
      <c r="K4" s="4"/>
    </row>
    <row r="5" spans="1:11" ht="20.100000000000001" customHeight="1" x14ac:dyDescent="0.25">
      <c r="A5" s="38" t="s">
        <v>51</v>
      </c>
      <c r="B5" s="38"/>
      <c r="C5" s="38"/>
      <c r="D5" s="38"/>
      <c r="E5" s="38"/>
      <c r="F5" s="4"/>
      <c r="G5" s="4"/>
      <c r="H5" s="4"/>
      <c r="I5" s="13"/>
      <c r="J5" s="4"/>
      <c r="K5" s="4"/>
    </row>
    <row r="6" spans="1:11" ht="20.100000000000001" hidden="1" customHeight="1" outlineLevel="1" thickBot="1" x14ac:dyDescent="0.3">
      <c r="A6" s="9"/>
      <c r="B6" s="9"/>
      <c r="C6" s="9"/>
      <c r="D6" s="9"/>
      <c r="E6" s="9"/>
      <c r="F6" s="4"/>
      <c r="G6" s="4"/>
      <c r="H6" s="4"/>
      <c r="I6" s="13"/>
      <c r="J6" s="4"/>
      <c r="K6" s="4"/>
    </row>
    <row r="7" spans="1:11" ht="20.100000000000001" hidden="1" customHeight="1" outlineLevel="1" thickBot="1" x14ac:dyDescent="0.3">
      <c r="A7" s="9"/>
      <c r="B7" s="9"/>
      <c r="C7" s="9"/>
      <c r="D7" s="9"/>
      <c r="E7" s="9"/>
      <c r="F7" s="4"/>
      <c r="G7" s="4"/>
      <c r="H7" s="4"/>
      <c r="I7" s="13"/>
      <c r="J7" s="4"/>
      <c r="K7" s="4"/>
    </row>
    <row r="8" spans="1:11" collapsed="1" x14ac:dyDescent="0.25">
      <c r="A8" s="36" t="s">
        <v>18</v>
      </c>
      <c r="B8" s="36"/>
      <c r="C8" s="36"/>
      <c r="D8" s="36"/>
      <c r="E8" s="37"/>
      <c r="F8" s="25">
        <v>111228.12</v>
      </c>
      <c r="G8" s="25">
        <v>67819.22</v>
      </c>
      <c r="H8" s="25">
        <v>42039.83</v>
      </c>
      <c r="I8" s="34">
        <v>29128.02</v>
      </c>
      <c r="J8" s="25">
        <v>107717.4</v>
      </c>
      <c r="K8" s="25">
        <f>SUM(F8:J8)</f>
        <v>357932.58999999997</v>
      </c>
    </row>
    <row r="9" spans="1:11" x14ac:dyDescent="0.25">
      <c r="A9" s="36" t="s">
        <v>27</v>
      </c>
      <c r="B9" s="36"/>
      <c r="C9" s="36"/>
      <c r="D9" s="36"/>
      <c r="E9" s="37"/>
      <c r="F9" s="25">
        <v>504654.9</v>
      </c>
      <c r="G9" s="25">
        <v>307702.83</v>
      </c>
      <c r="H9" s="25">
        <v>190739.68</v>
      </c>
      <c r="I9" s="34">
        <v>132157.4</v>
      </c>
      <c r="J9" s="25">
        <v>488728.45</v>
      </c>
      <c r="K9" s="25">
        <f t="shared" ref="K9:K27" si="0">SUM(F9:J9)</f>
        <v>1623983.2599999998</v>
      </c>
    </row>
    <row r="10" spans="1:11" x14ac:dyDescent="0.25">
      <c r="A10" s="36" t="s">
        <v>17</v>
      </c>
      <c r="B10" s="36"/>
      <c r="C10" s="36"/>
      <c r="D10" s="36"/>
      <c r="E10" s="37"/>
      <c r="F10" s="25"/>
      <c r="G10" s="25"/>
      <c r="H10" s="25"/>
      <c r="I10" s="34"/>
      <c r="J10" s="25"/>
      <c r="K10" s="25">
        <f t="shared" si="0"/>
        <v>0</v>
      </c>
    </row>
    <row r="11" spans="1:11" x14ac:dyDescent="0.25">
      <c r="A11" s="36" t="s">
        <v>20</v>
      </c>
      <c r="B11" s="36"/>
      <c r="C11" s="36"/>
      <c r="D11" s="36"/>
      <c r="E11" s="37"/>
      <c r="F11" s="25"/>
      <c r="G11" s="25"/>
      <c r="H11" s="25"/>
      <c r="I11" s="34"/>
      <c r="J11" s="25"/>
      <c r="K11" s="25">
        <f t="shared" si="0"/>
        <v>0</v>
      </c>
    </row>
    <row r="12" spans="1:11" x14ac:dyDescent="0.25">
      <c r="A12" s="36" t="s">
        <v>21</v>
      </c>
      <c r="B12" s="36"/>
      <c r="C12" s="36"/>
      <c r="D12" s="36"/>
      <c r="E12" s="37"/>
      <c r="F12" s="25"/>
      <c r="G12" s="25"/>
      <c r="H12" s="25"/>
      <c r="I12" s="34"/>
      <c r="J12" s="25"/>
      <c r="K12" s="25">
        <f t="shared" si="0"/>
        <v>0</v>
      </c>
    </row>
    <row r="13" spans="1:11" x14ac:dyDescent="0.25">
      <c r="A13" s="36" t="s">
        <v>26</v>
      </c>
      <c r="B13" s="36"/>
      <c r="C13" s="36"/>
      <c r="D13" s="36"/>
      <c r="E13" s="37"/>
      <c r="F13" s="25"/>
      <c r="G13" s="25"/>
      <c r="H13" s="25"/>
      <c r="I13" s="34"/>
      <c r="J13" s="25"/>
      <c r="K13" s="25">
        <f t="shared" si="0"/>
        <v>0</v>
      </c>
    </row>
    <row r="14" spans="1:11" x14ac:dyDescent="0.25">
      <c r="A14" s="36" t="s">
        <v>25</v>
      </c>
      <c r="B14" s="36"/>
      <c r="C14" s="36"/>
      <c r="D14" s="36"/>
      <c r="E14" s="37"/>
      <c r="F14" s="25"/>
      <c r="G14" s="25"/>
      <c r="H14" s="25"/>
      <c r="I14" s="34"/>
      <c r="J14" s="25"/>
      <c r="K14" s="25">
        <f t="shared" si="0"/>
        <v>0</v>
      </c>
    </row>
    <row r="15" spans="1:11" x14ac:dyDescent="0.25">
      <c r="A15" s="36" t="s">
        <v>16</v>
      </c>
      <c r="B15" s="36"/>
      <c r="C15" s="36"/>
      <c r="D15" s="36"/>
      <c r="E15" s="37"/>
      <c r="F15" s="25">
        <v>66056.86</v>
      </c>
      <c r="G15" s="25">
        <v>40276.769999999997</v>
      </c>
      <c r="H15" s="25">
        <v>24966.84</v>
      </c>
      <c r="I15" s="34">
        <v>17298.75</v>
      </c>
      <c r="J15" s="25">
        <v>63972.44</v>
      </c>
      <c r="K15" s="25">
        <f t="shared" si="0"/>
        <v>212571.66</v>
      </c>
    </row>
    <row r="16" spans="1:11" x14ac:dyDescent="0.25">
      <c r="A16" s="36" t="s">
        <v>15</v>
      </c>
      <c r="B16" s="36"/>
      <c r="C16" s="36"/>
      <c r="D16" s="36"/>
      <c r="E16" s="37"/>
      <c r="F16" s="25">
        <v>100345.84</v>
      </c>
      <c r="G16" s="25">
        <v>62834.87</v>
      </c>
      <c r="H16" s="25">
        <v>37538.18</v>
      </c>
      <c r="I16" s="34">
        <v>25102.84</v>
      </c>
      <c r="J16" s="25">
        <v>100121.13</v>
      </c>
      <c r="K16" s="25">
        <f t="shared" si="0"/>
        <v>325942.86</v>
      </c>
    </row>
    <row r="17" spans="1:11" x14ac:dyDescent="0.25">
      <c r="A17" s="36" t="s">
        <v>24</v>
      </c>
      <c r="B17" s="36"/>
      <c r="C17" s="36"/>
      <c r="D17" s="36"/>
      <c r="E17" s="37"/>
      <c r="F17" s="25"/>
      <c r="G17" s="25"/>
      <c r="H17" s="25"/>
      <c r="I17" s="34"/>
      <c r="J17" s="25"/>
      <c r="K17" s="25">
        <f t="shared" si="0"/>
        <v>0</v>
      </c>
    </row>
    <row r="18" spans="1:11" x14ac:dyDescent="0.25">
      <c r="A18" s="36" t="s">
        <v>23</v>
      </c>
      <c r="B18" s="36"/>
      <c r="C18" s="36"/>
      <c r="D18" s="36"/>
      <c r="E18" s="37"/>
      <c r="F18" s="25"/>
      <c r="G18" s="25"/>
      <c r="H18" s="25"/>
      <c r="I18" s="34"/>
      <c r="J18" s="25"/>
      <c r="K18" s="25">
        <f t="shared" si="0"/>
        <v>0</v>
      </c>
    </row>
    <row r="19" spans="1:11" x14ac:dyDescent="0.25">
      <c r="A19" s="36" t="s">
        <v>22</v>
      </c>
      <c r="B19" s="36"/>
      <c r="C19" s="36"/>
      <c r="D19" s="36"/>
      <c r="E19" s="37"/>
      <c r="F19" s="25">
        <v>31572.09</v>
      </c>
      <c r="G19" s="25">
        <v>19250.23</v>
      </c>
      <c r="H19" s="25">
        <v>11932.95</v>
      </c>
      <c r="I19" s="34">
        <v>8267.89</v>
      </c>
      <c r="J19" s="25">
        <v>30575.55</v>
      </c>
      <c r="K19" s="25">
        <f t="shared" si="0"/>
        <v>101598.71</v>
      </c>
    </row>
    <row r="20" spans="1:11" x14ac:dyDescent="0.25">
      <c r="A20" s="36" t="s">
        <v>19</v>
      </c>
      <c r="B20" s="36"/>
      <c r="C20" s="36"/>
      <c r="D20" s="36"/>
      <c r="E20" s="37"/>
      <c r="F20" s="25">
        <v>73827.78</v>
      </c>
      <c r="G20" s="25">
        <v>45015.03</v>
      </c>
      <c r="H20" s="35">
        <v>27904.2</v>
      </c>
      <c r="I20" s="25">
        <v>19333.96</v>
      </c>
      <c r="J20" s="25">
        <v>71498.19</v>
      </c>
      <c r="K20" s="25">
        <f t="shared" si="0"/>
        <v>237579.16</v>
      </c>
    </row>
    <row r="21" spans="1:11" x14ac:dyDescent="0.25">
      <c r="A21" s="36" t="s">
        <v>77</v>
      </c>
      <c r="B21" s="36"/>
      <c r="C21" s="36"/>
      <c r="D21" s="36"/>
      <c r="E21" s="37"/>
      <c r="F21" s="25">
        <v>283655.98</v>
      </c>
      <c r="G21" s="25">
        <v>172952.72</v>
      </c>
      <c r="H21" s="35">
        <v>107210.79</v>
      </c>
      <c r="I21" s="25">
        <v>74282.960000000006</v>
      </c>
      <c r="J21" s="25">
        <v>274704.5</v>
      </c>
      <c r="K21" s="25">
        <f t="shared" si="0"/>
        <v>912806.95</v>
      </c>
    </row>
    <row r="22" spans="1:11" x14ac:dyDescent="0.25">
      <c r="A22" s="36" t="s">
        <v>78</v>
      </c>
      <c r="B22" s="36"/>
      <c r="C22" s="36"/>
      <c r="D22" s="36"/>
      <c r="E22" s="37"/>
      <c r="F22" s="25">
        <v>30113.73</v>
      </c>
      <c r="G22" s="25">
        <v>18361.09</v>
      </c>
      <c r="H22" s="35">
        <v>11381.75</v>
      </c>
      <c r="I22" s="25">
        <v>7886.22</v>
      </c>
      <c r="J22" s="25">
        <v>29164</v>
      </c>
      <c r="K22" s="25">
        <f t="shared" si="0"/>
        <v>96906.79</v>
      </c>
    </row>
    <row r="23" spans="1:11" x14ac:dyDescent="0.25">
      <c r="A23" s="36" t="s">
        <v>79</v>
      </c>
      <c r="B23" s="36"/>
      <c r="C23" s="36"/>
      <c r="D23" s="36"/>
      <c r="E23" s="37"/>
      <c r="F23" s="25">
        <v>94913</v>
      </c>
      <c r="G23" s="25">
        <v>64815</v>
      </c>
      <c r="H23" s="35">
        <v>33078</v>
      </c>
      <c r="I23" s="25">
        <v>20711</v>
      </c>
      <c r="J23" s="25">
        <v>102363</v>
      </c>
      <c r="K23" s="25">
        <f t="shared" si="0"/>
        <v>315880</v>
      </c>
    </row>
    <row r="24" spans="1:11" x14ac:dyDescent="0.25">
      <c r="A24" s="36" t="s">
        <v>80</v>
      </c>
      <c r="B24" s="36"/>
      <c r="C24" s="36"/>
      <c r="D24" s="36"/>
      <c r="E24" s="37"/>
      <c r="F24" s="25">
        <v>43717.05</v>
      </c>
      <c r="G24" s="25">
        <v>25316.55</v>
      </c>
      <c r="H24" s="35">
        <v>15037.65</v>
      </c>
      <c r="I24" s="25">
        <v>11801.7</v>
      </c>
      <c r="J24" s="25">
        <v>44541.9</v>
      </c>
      <c r="K24" s="25">
        <f t="shared" si="0"/>
        <v>140414.85</v>
      </c>
    </row>
    <row r="25" spans="1:11" x14ac:dyDescent="0.25">
      <c r="A25" s="36" t="s">
        <v>81</v>
      </c>
      <c r="B25" s="36"/>
      <c r="C25" s="36"/>
      <c r="D25" s="36"/>
      <c r="E25" s="37"/>
      <c r="F25" s="25">
        <v>24330</v>
      </c>
      <c r="G25" s="25">
        <v>14070</v>
      </c>
      <c r="H25" s="35">
        <v>8685</v>
      </c>
      <c r="I25" s="25">
        <v>5850</v>
      </c>
      <c r="J25" s="25">
        <v>25305</v>
      </c>
      <c r="K25" s="25">
        <f t="shared" si="0"/>
        <v>78240</v>
      </c>
    </row>
    <row r="26" spans="1:11" x14ac:dyDescent="0.25">
      <c r="A26" s="36" t="s">
        <v>82</v>
      </c>
      <c r="B26" s="36"/>
      <c r="C26" s="36"/>
      <c r="D26" s="36"/>
      <c r="E26" s="37"/>
      <c r="F26" s="25">
        <v>20500</v>
      </c>
      <c r="G26" s="25">
        <v>11800.02</v>
      </c>
      <c r="H26" s="35">
        <v>7312.47</v>
      </c>
      <c r="I26" s="25">
        <v>5025</v>
      </c>
      <c r="J26" s="25">
        <v>21537.48</v>
      </c>
      <c r="K26" s="25">
        <f t="shared" si="0"/>
        <v>66174.97</v>
      </c>
    </row>
    <row r="27" spans="1:11" x14ac:dyDescent="0.25">
      <c r="F27" s="26">
        <f>SUM(F8:F26)</f>
        <v>1384915.3499999999</v>
      </c>
      <c r="G27" s="26">
        <f>SUM(G8:G26)</f>
        <v>850214.33000000007</v>
      </c>
      <c r="H27" s="26">
        <f>SUM(H8:H26)</f>
        <v>517827.34</v>
      </c>
      <c r="I27" s="26">
        <f t="shared" ref="I27:J27" si="1">SUM(I8:I26)</f>
        <v>356845.73999999993</v>
      </c>
      <c r="J27" s="26">
        <f t="shared" si="1"/>
        <v>1360229.04</v>
      </c>
      <c r="K27" s="25">
        <f t="shared" si="0"/>
        <v>4470031.7999999989</v>
      </c>
    </row>
  </sheetData>
  <mergeCells count="21">
    <mergeCell ref="A26:E26"/>
    <mergeCell ref="A21:E21"/>
    <mergeCell ref="A22:E22"/>
    <mergeCell ref="A23:E23"/>
    <mergeCell ref="A24:E24"/>
    <mergeCell ref="A25:E25"/>
    <mergeCell ref="A20:E20"/>
    <mergeCell ref="A5:E5"/>
    <mergeCell ref="A1:E1"/>
    <mergeCell ref="A16:E16"/>
    <mergeCell ref="A17:E17"/>
    <mergeCell ref="A18:E18"/>
    <mergeCell ref="A19:E19"/>
    <mergeCell ref="A12:E12"/>
    <mergeCell ref="A11:E11"/>
    <mergeCell ref="A8:E8"/>
    <mergeCell ref="A9:E9"/>
    <mergeCell ref="A10:E10"/>
    <mergeCell ref="A13:E13"/>
    <mergeCell ref="A14:E14"/>
    <mergeCell ref="A15:E15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selection activeCell="H8" sqref="H8:H26"/>
    </sheetView>
  </sheetViews>
  <sheetFormatPr defaultRowHeight="15" x14ac:dyDescent="0.25"/>
  <cols>
    <col min="1" max="1" width="5.5703125" customWidth="1"/>
    <col min="2" max="2" width="92.28515625" customWidth="1"/>
    <col min="3" max="3" width="15.5703125" customWidth="1"/>
    <col min="4" max="4" width="14.7109375" customWidth="1"/>
    <col min="5" max="5" width="14.28515625" customWidth="1"/>
    <col min="6" max="6" width="15.7109375" customWidth="1"/>
    <col min="7" max="7" width="14.42578125" customWidth="1"/>
    <col min="8" max="8" width="11.5703125" customWidth="1"/>
  </cols>
  <sheetData>
    <row r="1" spans="1:8" x14ac:dyDescent="0.25">
      <c r="B1" s="2" t="s">
        <v>62</v>
      </c>
    </row>
    <row r="2" spans="1:8" x14ac:dyDescent="0.25">
      <c r="B2" s="16"/>
    </row>
    <row r="3" spans="1:8" x14ac:dyDescent="0.25">
      <c r="B3" s="16"/>
      <c r="C3" s="5" t="s">
        <v>74</v>
      </c>
      <c r="D3" s="5" t="s">
        <v>74</v>
      </c>
      <c r="E3" s="12" t="s">
        <v>74</v>
      </c>
      <c r="F3" s="14" t="s">
        <v>72</v>
      </c>
      <c r="G3" s="5" t="s">
        <v>72</v>
      </c>
      <c r="H3" s="5" t="s">
        <v>63</v>
      </c>
    </row>
    <row r="4" spans="1:8" x14ac:dyDescent="0.25">
      <c r="B4" s="1" t="s">
        <v>28</v>
      </c>
      <c r="C4" s="5" t="s">
        <v>69</v>
      </c>
      <c r="D4" s="5" t="s">
        <v>70</v>
      </c>
      <c r="E4" s="12" t="s">
        <v>71</v>
      </c>
      <c r="F4" s="5" t="s">
        <v>73</v>
      </c>
      <c r="G4" s="5" t="s">
        <v>75</v>
      </c>
      <c r="H4" s="4"/>
    </row>
    <row r="5" spans="1:8" ht="20.100000000000001" customHeight="1" x14ac:dyDescent="0.25">
      <c r="B5" s="3" t="s">
        <v>14</v>
      </c>
      <c r="C5" s="4"/>
      <c r="D5" s="4"/>
      <c r="E5" s="4"/>
      <c r="F5" s="4"/>
      <c r="G5" s="4"/>
      <c r="H5" s="4"/>
    </row>
    <row r="6" spans="1:8" ht="20.100000000000001" hidden="1" customHeight="1" thickBot="1" x14ac:dyDescent="0.3">
      <c r="B6" s="3"/>
      <c r="C6" s="4"/>
      <c r="D6" s="4"/>
      <c r="E6" s="4"/>
      <c r="F6" s="4"/>
      <c r="G6" s="4"/>
      <c r="H6" s="4"/>
    </row>
    <row r="7" spans="1:8" ht="20.100000000000001" hidden="1" customHeight="1" thickBot="1" x14ac:dyDescent="0.3">
      <c r="B7" s="3"/>
      <c r="C7" s="4"/>
      <c r="D7" s="4"/>
      <c r="E7" s="4"/>
      <c r="F7" s="4"/>
      <c r="G7" s="4"/>
      <c r="H7" s="4"/>
    </row>
    <row r="8" spans="1:8" x14ac:dyDescent="0.25">
      <c r="A8" s="4">
        <v>1</v>
      </c>
      <c r="B8" s="10" t="s">
        <v>18</v>
      </c>
      <c r="C8" s="25">
        <f>'Данные по МКД-6'!F8</f>
        <v>111228.12</v>
      </c>
      <c r="D8" s="25">
        <f>'Данные по МКД-6'!G8</f>
        <v>67819.22</v>
      </c>
      <c r="E8" s="25">
        <f>'Данные по МКД-6'!H8</f>
        <v>42039.83</v>
      </c>
      <c r="F8" s="25">
        <f>'Данные по МКД-6'!I8</f>
        <v>29128.02</v>
      </c>
      <c r="G8" s="25">
        <f>'Данные по МКД-6'!J8</f>
        <v>107717.4</v>
      </c>
      <c r="H8" s="25">
        <f>SUM(C8:G8)</f>
        <v>357932.58999999997</v>
      </c>
    </row>
    <row r="9" spans="1:8" x14ac:dyDescent="0.25">
      <c r="A9" s="4">
        <v>2</v>
      </c>
      <c r="B9" s="10" t="s">
        <v>27</v>
      </c>
      <c r="C9" s="25">
        <f>'Данные по МКД-6'!F9</f>
        <v>504654.9</v>
      </c>
      <c r="D9" s="25">
        <f>'Данные по МКД-6'!G9</f>
        <v>307702.83</v>
      </c>
      <c r="E9" s="25">
        <f>'Данные по МКД-6'!H9</f>
        <v>190739.68</v>
      </c>
      <c r="F9" s="25">
        <f>'Данные по МКД-6'!I9</f>
        <v>132157.4</v>
      </c>
      <c r="G9" s="25">
        <f>'Данные по МКД-6'!J9</f>
        <v>488728.45</v>
      </c>
      <c r="H9" s="25">
        <f t="shared" ref="H9:H26" si="0">SUM(C9:G9)</f>
        <v>1623983.2599999998</v>
      </c>
    </row>
    <row r="10" spans="1:8" x14ac:dyDescent="0.25">
      <c r="A10" s="4">
        <v>3</v>
      </c>
      <c r="B10" s="10" t="s">
        <v>17</v>
      </c>
      <c r="C10" s="25">
        <f>'Данные по МКД-6'!F10</f>
        <v>0</v>
      </c>
      <c r="D10" s="25">
        <f>'Данные по МКД-6'!G10</f>
        <v>0</v>
      </c>
      <c r="E10" s="25">
        <f>'Данные по МКД-6'!H10</f>
        <v>0</v>
      </c>
      <c r="F10" s="25">
        <f>'Данные по МКД-6'!I10</f>
        <v>0</v>
      </c>
      <c r="G10" s="25">
        <f>'Данные по МКД-6'!J10</f>
        <v>0</v>
      </c>
      <c r="H10" s="25">
        <f t="shared" si="0"/>
        <v>0</v>
      </c>
    </row>
    <row r="11" spans="1:8" x14ac:dyDescent="0.25">
      <c r="A11" s="4">
        <v>4</v>
      </c>
      <c r="B11" s="10" t="s">
        <v>20</v>
      </c>
      <c r="C11" s="25">
        <f>'Данные по МКД-6'!F11</f>
        <v>0</v>
      </c>
      <c r="D11" s="25">
        <f>'Данные по МКД-6'!G11</f>
        <v>0</v>
      </c>
      <c r="E11" s="25">
        <f>'Данные по МКД-6'!H11</f>
        <v>0</v>
      </c>
      <c r="F11" s="25">
        <f>'Данные по МКД-6'!I11</f>
        <v>0</v>
      </c>
      <c r="G11" s="25">
        <f>'Данные по МКД-6'!J11</f>
        <v>0</v>
      </c>
      <c r="H11" s="25">
        <f t="shared" si="0"/>
        <v>0</v>
      </c>
    </row>
    <row r="12" spans="1:8" x14ac:dyDescent="0.25">
      <c r="A12" s="4">
        <v>5</v>
      </c>
      <c r="B12" s="10" t="s">
        <v>21</v>
      </c>
      <c r="C12" s="25">
        <f>'Данные по МКД-6'!F12</f>
        <v>0</v>
      </c>
      <c r="D12" s="25">
        <f>'Данные по МКД-6'!G12</f>
        <v>0</v>
      </c>
      <c r="E12" s="25">
        <f>'Данные по МКД-6'!H12</f>
        <v>0</v>
      </c>
      <c r="F12" s="25">
        <f>'Данные по МКД-6'!I12</f>
        <v>0</v>
      </c>
      <c r="G12" s="25">
        <f>'Данные по МКД-6'!J12</f>
        <v>0</v>
      </c>
      <c r="H12" s="25">
        <f t="shared" si="0"/>
        <v>0</v>
      </c>
    </row>
    <row r="13" spans="1:8" ht="14.45" customHeight="1" x14ac:dyDescent="0.25">
      <c r="A13" s="4">
        <v>6</v>
      </c>
      <c r="B13" s="10" t="s">
        <v>26</v>
      </c>
      <c r="C13" s="25">
        <f>'Данные по МКД-6'!F13</f>
        <v>0</v>
      </c>
      <c r="D13" s="25">
        <f>'Данные по МКД-6'!G13</f>
        <v>0</v>
      </c>
      <c r="E13" s="25">
        <f>'Данные по МКД-6'!H13</f>
        <v>0</v>
      </c>
      <c r="F13" s="25">
        <f>'Данные по МКД-6'!I13</f>
        <v>0</v>
      </c>
      <c r="G13" s="25">
        <f>'Данные по МКД-6'!J13</f>
        <v>0</v>
      </c>
      <c r="H13" s="25">
        <f t="shared" si="0"/>
        <v>0</v>
      </c>
    </row>
    <row r="14" spans="1:8" ht="14.45" customHeight="1" x14ac:dyDescent="0.25">
      <c r="A14" s="4">
        <v>7</v>
      </c>
      <c r="B14" s="10" t="s">
        <v>25</v>
      </c>
      <c r="C14" s="25">
        <f>'Данные по МКД-6'!F14</f>
        <v>0</v>
      </c>
      <c r="D14" s="25">
        <f>'Данные по МКД-6'!G14</f>
        <v>0</v>
      </c>
      <c r="E14" s="25">
        <f>'Данные по МКД-6'!H14</f>
        <v>0</v>
      </c>
      <c r="F14" s="25">
        <f>'Данные по МКД-6'!I14</f>
        <v>0</v>
      </c>
      <c r="G14" s="25">
        <f>'Данные по МКД-6'!J14</f>
        <v>0</v>
      </c>
      <c r="H14" s="25">
        <f t="shared" si="0"/>
        <v>0</v>
      </c>
    </row>
    <row r="15" spans="1:8" x14ac:dyDescent="0.25">
      <c r="A15" s="4">
        <v>8</v>
      </c>
      <c r="B15" s="10" t="s">
        <v>16</v>
      </c>
      <c r="C15" s="25">
        <f>'Данные по МКД-6'!F15</f>
        <v>66056.86</v>
      </c>
      <c r="D15" s="25">
        <f>'Данные по МКД-6'!G15</f>
        <v>40276.769999999997</v>
      </c>
      <c r="E15" s="25">
        <f>'Данные по МКД-6'!H15</f>
        <v>24966.84</v>
      </c>
      <c r="F15" s="25">
        <f>'Данные по МКД-6'!I15</f>
        <v>17298.75</v>
      </c>
      <c r="G15" s="25">
        <f>'Данные по МКД-6'!J15</f>
        <v>63972.44</v>
      </c>
      <c r="H15" s="25">
        <f t="shared" si="0"/>
        <v>212571.66</v>
      </c>
    </row>
    <row r="16" spans="1:8" x14ac:dyDescent="0.25">
      <c r="A16" s="4">
        <v>9</v>
      </c>
      <c r="B16" s="10" t="s">
        <v>15</v>
      </c>
      <c r="C16" s="25">
        <f>'Данные по МКД-6'!F16</f>
        <v>100345.84</v>
      </c>
      <c r="D16" s="25">
        <f>'Данные по МКД-6'!G16</f>
        <v>62834.87</v>
      </c>
      <c r="E16" s="25">
        <f>'Данные по МКД-6'!H16</f>
        <v>37538.18</v>
      </c>
      <c r="F16" s="25">
        <f>'Данные по МКД-6'!I16</f>
        <v>25102.84</v>
      </c>
      <c r="G16" s="25">
        <f>'Данные по МКД-6'!J16</f>
        <v>100121.13</v>
      </c>
      <c r="H16" s="25">
        <f t="shared" si="0"/>
        <v>325942.86</v>
      </c>
    </row>
    <row r="17" spans="1:8" x14ac:dyDescent="0.25">
      <c r="A17" s="4">
        <v>10</v>
      </c>
      <c r="B17" s="10" t="s">
        <v>24</v>
      </c>
      <c r="C17" s="25">
        <f>'Данные по МКД-6'!F17</f>
        <v>0</v>
      </c>
      <c r="D17" s="25">
        <f>'Данные по МКД-6'!G17</f>
        <v>0</v>
      </c>
      <c r="E17" s="25">
        <f>'Данные по МКД-6'!H17</f>
        <v>0</v>
      </c>
      <c r="F17" s="25">
        <f>'Данные по МКД-6'!I17</f>
        <v>0</v>
      </c>
      <c r="G17" s="25">
        <f>'Данные по МКД-6'!J17</f>
        <v>0</v>
      </c>
      <c r="H17" s="25">
        <f t="shared" si="0"/>
        <v>0</v>
      </c>
    </row>
    <row r="18" spans="1:8" x14ac:dyDescent="0.25">
      <c r="A18" s="4">
        <v>11</v>
      </c>
      <c r="B18" s="10" t="s">
        <v>23</v>
      </c>
      <c r="C18" s="25">
        <f>'Данные по МКД-6'!F18</f>
        <v>0</v>
      </c>
      <c r="D18" s="25">
        <f>'Данные по МКД-6'!G18</f>
        <v>0</v>
      </c>
      <c r="E18" s="25">
        <f>'Данные по МКД-6'!H18</f>
        <v>0</v>
      </c>
      <c r="F18" s="25">
        <f>'Данные по МКД-6'!I18</f>
        <v>0</v>
      </c>
      <c r="G18" s="25">
        <f>'Данные по МКД-6'!J18</f>
        <v>0</v>
      </c>
      <c r="H18" s="25">
        <f t="shared" si="0"/>
        <v>0</v>
      </c>
    </row>
    <row r="19" spans="1:8" x14ac:dyDescent="0.25">
      <c r="A19" s="4">
        <v>12</v>
      </c>
      <c r="B19" s="10" t="s">
        <v>22</v>
      </c>
      <c r="C19" s="25">
        <f>'Данные по МКД-6'!F19</f>
        <v>31572.09</v>
      </c>
      <c r="D19" s="25">
        <f>'Данные по МКД-6'!G19</f>
        <v>19250.23</v>
      </c>
      <c r="E19" s="25">
        <f>'Данные по МКД-6'!H19</f>
        <v>11932.95</v>
      </c>
      <c r="F19" s="25">
        <f>'Данные по МКД-6'!I19</f>
        <v>8267.89</v>
      </c>
      <c r="G19" s="25">
        <f>'Данные по МКД-6'!J19</f>
        <v>30575.55</v>
      </c>
      <c r="H19" s="25">
        <f t="shared" si="0"/>
        <v>101598.71</v>
      </c>
    </row>
    <row r="20" spans="1:8" ht="14.45" customHeight="1" x14ac:dyDescent="0.25">
      <c r="A20" s="4">
        <f>A19+1</f>
        <v>13</v>
      </c>
      <c r="B20" s="10" t="s">
        <v>19</v>
      </c>
      <c r="C20" s="25">
        <f>'Данные по МКД-6'!F20</f>
        <v>73827.78</v>
      </c>
      <c r="D20" s="25">
        <f>'Данные по МКД-6'!G20</f>
        <v>45015.03</v>
      </c>
      <c r="E20" s="25">
        <f>'Данные по МКД-6'!H20</f>
        <v>27904.2</v>
      </c>
      <c r="F20" s="25">
        <f>'Данные по МКД-6'!I20</f>
        <v>19333.96</v>
      </c>
      <c r="G20" s="25">
        <f>'Данные по МКД-6'!J20</f>
        <v>71498.19</v>
      </c>
      <c r="H20" s="25">
        <f t="shared" si="0"/>
        <v>237579.16</v>
      </c>
    </row>
    <row r="21" spans="1:8" x14ac:dyDescent="0.25">
      <c r="A21" s="4">
        <f t="shared" ref="A21:A26" si="1">A20+1</f>
        <v>14</v>
      </c>
      <c r="B21" s="30" t="s">
        <v>77</v>
      </c>
      <c r="C21" s="25">
        <f>'Данные по МКД-6'!F21</f>
        <v>283655.98</v>
      </c>
      <c r="D21" s="25">
        <f>'Данные по МКД-6'!G21</f>
        <v>172952.72</v>
      </c>
      <c r="E21" s="25">
        <f>'Данные по МКД-6'!H21</f>
        <v>107210.79</v>
      </c>
      <c r="F21" s="25">
        <f>'Данные по МКД-6'!I21</f>
        <v>74282.960000000006</v>
      </c>
      <c r="G21" s="25">
        <f>'Данные по МКД-6'!J21</f>
        <v>274704.5</v>
      </c>
      <c r="H21" s="25">
        <f t="shared" si="0"/>
        <v>912806.95</v>
      </c>
    </row>
    <row r="22" spans="1:8" x14ac:dyDescent="0.25">
      <c r="A22" s="4">
        <f t="shared" si="1"/>
        <v>15</v>
      </c>
      <c r="B22" s="30" t="s">
        <v>78</v>
      </c>
      <c r="C22" s="25">
        <f>'Данные по МКД-6'!F22</f>
        <v>30113.73</v>
      </c>
      <c r="D22" s="25">
        <f>'Данные по МКД-6'!G22</f>
        <v>18361.09</v>
      </c>
      <c r="E22" s="25">
        <f>'Данные по МКД-6'!H22</f>
        <v>11381.75</v>
      </c>
      <c r="F22" s="25">
        <f>'Данные по МКД-6'!I22</f>
        <v>7886.22</v>
      </c>
      <c r="G22" s="25">
        <f>'Данные по МКД-6'!J22</f>
        <v>29164</v>
      </c>
      <c r="H22" s="25">
        <f t="shared" si="0"/>
        <v>96906.79</v>
      </c>
    </row>
    <row r="23" spans="1:8" x14ac:dyDescent="0.25">
      <c r="A23" s="4">
        <f t="shared" si="1"/>
        <v>16</v>
      </c>
      <c r="B23" s="30" t="s">
        <v>79</v>
      </c>
      <c r="C23" s="25">
        <f>'Данные по МКД-6'!F23</f>
        <v>94913</v>
      </c>
      <c r="D23" s="25">
        <f>'Данные по МКД-6'!G23</f>
        <v>64815</v>
      </c>
      <c r="E23" s="25">
        <f>'Данные по МКД-6'!H23</f>
        <v>33078</v>
      </c>
      <c r="F23" s="25">
        <f>'Данные по МКД-6'!I23</f>
        <v>20711</v>
      </c>
      <c r="G23" s="25">
        <f>'Данные по МКД-6'!J23</f>
        <v>102363</v>
      </c>
      <c r="H23" s="25">
        <f t="shared" si="0"/>
        <v>315880</v>
      </c>
    </row>
    <row r="24" spans="1:8" x14ac:dyDescent="0.25">
      <c r="A24" s="4">
        <f t="shared" si="1"/>
        <v>17</v>
      </c>
      <c r="B24" s="30" t="s">
        <v>80</v>
      </c>
      <c r="C24" s="25">
        <f>'Данные по МКД-6'!F24</f>
        <v>43717.05</v>
      </c>
      <c r="D24" s="25">
        <f>'Данные по МКД-6'!G24</f>
        <v>25316.55</v>
      </c>
      <c r="E24" s="25">
        <f>'Данные по МКД-6'!H24</f>
        <v>15037.65</v>
      </c>
      <c r="F24" s="25">
        <f>'Данные по МКД-6'!I24</f>
        <v>11801.7</v>
      </c>
      <c r="G24" s="25">
        <f>'Данные по МКД-6'!J24</f>
        <v>44541.9</v>
      </c>
      <c r="H24" s="25">
        <f t="shared" si="0"/>
        <v>140414.85</v>
      </c>
    </row>
    <row r="25" spans="1:8" x14ac:dyDescent="0.25">
      <c r="A25" s="4">
        <f t="shared" si="1"/>
        <v>18</v>
      </c>
      <c r="B25" s="30" t="s">
        <v>81</v>
      </c>
      <c r="C25" s="25">
        <f>'Данные по МКД-6'!F25</f>
        <v>24330</v>
      </c>
      <c r="D25" s="25">
        <f>'Данные по МКД-6'!G25</f>
        <v>14070</v>
      </c>
      <c r="E25" s="25">
        <f>'Данные по МКД-6'!H25</f>
        <v>8685</v>
      </c>
      <c r="F25" s="25">
        <f>'Данные по МКД-6'!I25</f>
        <v>5850</v>
      </c>
      <c r="G25" s="25">
        <f>'Данные по МКД-6'!J25</f>
        <v>25305</v>
      </c>
      <c r="H25" s="25">
        <f t="shared" si="0"/>
        <v>78240</v>
      </c>
    </row>
    <row r="26" spans="1:8" x14ac:dyDescent="0.25">
      <c r="A26" s="4">
        <f t="shared" si="1"/>
        <v>19</v>
      </c>
      <c r="B26" s="30" t="s">
        <v>82</v>
      </c>
      <c r="C26" s="25">
        <f>'Данные по МКД-6'!F26</f>
        <v>20500</v>
      </c>
      <c r="D26" s="25">
        <f>'Данные по МКД-6'!G26</f>
        <v>11800.02</v>
      </c>
      <c r="E26" s="25">
        <f>'Данные по МКД-6'!H26</f>
        <v>7312.47</v>
      </c>
      <c r="F26" s="25">
        <f>'Данные по МКД-6'!I26</f>
        <v>5025</v>
      </c>
      <c r="G26" s="25">
        <f>'Данные по МКД-6'!J26</f>
        <v>21537.48</v>
      </c>
      <c r="H26" s="25">
        <f t="shared" si="0"/>
        <v>66174.97</v>
      </c>
    </row>
  </sheetData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A25" workbookViewId="0">
      <selection activeCell="C40" sqref="C40:G41"/>
    </sheetView>
  </sheetViews>
  <sheetFormatPr defaultColWidth="18.140625" defaultRowHeight="15" x14ac:dyDescent="0.25"/>
  <cols>
    <col min="1" max="1" width="3.140625" customWidth="1"/>
    <col min="2" max="2" width="75.42578125" customWidth="1"/>
    <col min="3" max="3" width="13.42578125" customWidth="1"/>
    <col min="4" max="4" width="13.5703125" customWidth="1"/>
    <col min="5" max="5" width="12.140625" customWidth="1"/>
    <col min="6" max="7" width="12.28515625" customWidth="1"/>
    <col min="8" max="8" width="13" customWidth="1"/>
    <col min="9" max="30" width="8.140625" customWidth="1"/>
  </cols>
  <sheetData>
    <row r="1" spans="1:8" x14ac:dyDescent="0.25">
      <c r="B1" s="2" t="s">
        <v>67</v>
      </c>
    </row>
    <row r="2" spans="1:8" x14ac:dyDescent="0.25">
      <c r="B2" s="17"/>
      <c r="C2" s="5" t="s">
        <v>74</v>
      </c>
      <c r="D2" s="5" t="s">
        <v>74</v>
      </c>
      <c r="E2" s="12" t="s">
        <v>74</v>
      </c>
      <c r="F2" s="14" t="s">
        <v>72</v>
      </c>
      <c r="G2" s="5" t="s">
        <v>72</v>
      </c>
      <c r="H2" s="5" t="s">
        <v>63</v>
      </c>
    </row>
    <row r="3" spans="1:8" x14ac:dyDescent="0.25">
      <c r="B3" s="17"/>
      <c r="C3" s="5" t="s">
        <v>69</v>
      </c>
      <c r="D3" s="5" t="s">
        <v>70</v>
      </c>
      <c r="E3" s="12" t="s">
        <v>71</v>
      </c>
      <c r="F3" s="5" t="s">
        <v>73</v>
      </c>
      <c r="G3" s="5" t="s">
        <v>75</v>
      </c>
      <c r="H3" s="4"/>
    </row>
    <row r="4" spans="1:8" x14ac:dyDescent="0.25">
      <c r="B4" s="2" t="s">
        <v>50</v>
      </c>
      <c r="C4" s="4"/>
      <c r="D4" s="4"/>
      <c r="E4" s="4"/>
      <c r="F4" s="4"/>
      <c r="G4" s="4"/>
      <c r="H4" s="4"/>
    </row>
    <row r="5" spans="1:8" ht="14.45" customHeight="1" x14ac:dyDescent="0.25">
      <c r="A5" s="4">
        <v>1</v>
      </c>
      <c r="B5" s="19" t="s">
        <v>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f>SUM(C5:G5)</f>
        <v>0</v>
      </c>
    </row>
    <row r="6" spans="1:8" ht="14.45" customHeight="1" x14ac:dyDescent="0.25">
      <c r="A6" s="4">
        <v>2</v>
      </c>
      <c r="B6" s="19" t="s">
        <v>1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f t="shared" ref="H6:H37" si="0">SUM(C6:G6)</f>
        <v>0</v>
      </c>
    </row>
    <row r="7" spans="1:8" ht="14.45" customHeight="1" x14ac:dyDescent="0.25">
      <c r="A7" s="4">
        <v>3</v>
      </c>
      <c r="B7" s="19" t="s">
        <v>2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f t="shared" si="0"/>
        <v>0</v>
      </c>
    </row>
    <row r="8" spans="1:8" ht="14.45" customHeight="1" x14ac:dyDescent="0.25">
      <c r="A8" s="4">
        <v>4</v>
      </c>
      <c r="B8" s="20" t="s">
        <v>3</v>
      </c>
      <c r="C8" s="25"/>
      <c r="D8" s="25"/>
      <c r="E8" s="25"/>
      <c r="F8" s="25"/>
      <c r="G8" s="25"/>
      <c r="H8" s="25">
        <f t="shared" si="0"/>
        <v>0</v>
      </c>
    </row>
    <row r="9" spans="1:8" ht="14.45" customHeight="1" x14ac:dyDescent="0.25">
      <c r="A9" s="4"/>
      <c r="B9" s="10" t="s">
        <v>18</v>
      </c>
      <c r="C9" s="25">
        <f>'Данные по МКД-2'!C8</f>
        <v>111228.12</v>
      </c>
      <c r="D9" s="25">
        <f>'Данные по МКД-2'!D8</f>
        <v>67819.22</v>
      </c>
      <c r="E9" s="25">
        <f>'Данные по МКД-2'!E8</f>
        <v>42039.83</v>
      </c>
      <c r="F9" s="25">
        <f>'Данные по МКД-2'!F8</f>
        <v>29128.02</v>
      </c>
      <c r="G9" s="25">
        <f>'Данные по МКД-2'!G8</f>
        <v>107717.4</v>
      </c>
      <c r="H9" s="25">
        <f t="shared" si="0"/>
        <v>357932.58999999997</v>
      </c>
    </row>
    <row r="10" spans="1:8" ht="14.45" customHeight="1" x14ac:dyDescent="0.25">
      <c r="A10" s="4"/>
      <c r="B10" s="10" t="s">
        <v>27</v>
      </c>
      <c r="C10" s="25">
        <f>'Данные по МКД-2'!C9</f>
        <v>504654.9</v>
      </c>
      <c r="D10" s="25">
        <f>'Данные по МКД-2'!D9</f>
        <v>307702.83</v>
      </c>
      <c r="E10" s="25">
        <f>'Данные по МКД-2'!E9</f>
        <v>190739.68</v>
      </c>
      <c r="F10" s="25">
        <f>'Данные по МКД-2'!F9</f>
        <v>132157.4</v>
      </c>
      <c r="G10" s="25">
        <f>'Данные по МКД-2'!G9</f>
        <v>488728.45</v>
      </c>
      <c r="H10" s="25">
        <f t="shared" si="0"/>
        <v>1623983.2599999998</v>
      </c>
    </row>
    <row r="11" spans="1:8" ht="14.45" customHeight="1" x14ac:dyDescent="0.25">
      <c r="A11" s="4"/>
      <c r="B11" s="10" t="s">
        <v>17</v>
      </c>
      <c r="C11" s="25">
        <f>'Данные по МКД-2'!C10</f>
        <v>0</v>
      </c>
      <c r="D11" s="25">
        <f>'Данные по МКД-2'!D10</f>
        <v>0</v>
      </c>
      <c r="E11" s="25">
        <f>'Данные по МКД-2'!E10</f>
        <v>0</v>
      </c>
      <c r="F11" s="25">
        <f>'Данные по МКД-2'!F10</f>
        <v>0</v>
      </c>
      <c r="G11" s="25">
        <f>'Данные по МКД-2'!G10</f>
        <v>0</v>
      </c>
      <c r="H11" s="25">
        <f t="shared" si="0"/>
        <v>0</v>
      </c>
    </row>
    <row r="12" spans="1:8" ht="14.45" customHeight="1" x14ac:dyDescent="0.25">
      <c r="A12" s="4"/>
      <c r="B12" s="10" t="s">
        <v>20</v>
      </c>
      <c r="C12" s="25">
        <f>'Данные по МКД-2'!C11</f>
        <v>0</v>
      </c>
      <c r="D12" s="25">
        <f>'Данные по МКД-2'!D11</f>
        <v>0</v>
      </c>
      <c r="E12" s="25">
        <f>'Данные по МКД-2'!E11</f>
        <v>0</v>
      </c>
      <c r="F12" s="25">
        <f>'Данные по МКД-2'!F11</f>
        <v>0</v>
      </c>
      <c r="G12" s="25">
        <f>'Данные по МКД-2'!G11</f>
        <v>0</v>
      </c>
      <c r="H12" s="25">
        <f t="shared" si="0"/>
        <v>0</v>
      </c>
    </row>
    <row r="13" spans="1:8" ht="14.45" customHeight="1" x14ac:dyDescent="0.25">
      <c r="A13" s="4"/>
      <c r="B13" s="10" t="s">
        <v>21</v>
      </c>
      <c r="C13" s="25">
        <f>'Данные по МКД-2'!C12</f>
        <v>0</v>
      </c>
      <c r="D13" s="25">
        <f>'Данные по МКД-2'!D12</f>
        <v>0</v>
      </c>
      <c r="E13" s="25">
        <f>'Данные по МКД-2'!E12</f>
        <v>0</v>
      </c>
      <c r="F13" s="25">
        <f>'Данные по МКД-2'!F12</f>
        <v>0</v>
      </c>
      <c r="G13" s="25">
        <f>'Данные по МКД-2'!G12</f>
        <v>0</v>
      </c>
      <c r="H13" s="25">
        <f t="shared" si="0"/>
        <v>0</v>
      </c>
    </row>
    <row r="14" spans="1:8" ht="14.45" customHeight="1" x14ac:dyDescent="0.25">
      <c r="A14" s="4"/>
      <c r="B14" s="10" t="s">
        <v>26</v>
      </c>
      <c r="C14" s="25">
        <f>'Данные по МКД-2'!C13</f>
        <v>0</v>
      </c>
      <c r="D14" s="25">
        <f>'Данные по МКД-2'!D13</f>
        <v>0</v>
      </c>
      <c r="E14" s="25">
        <f>'Данные по МКД-2'!E13</f>
        <v>0</v>
      </c>
      <c r="F14" s="25">
        <f>'Данные по МКД-2'!F13</f>
        <v>0</v>
      </c>
      <c r="G14" s="25">
        <f>'Данные по МКД-2'!G13</f>
        <v>0</v>
      </c>
      <c r="H14" s="25">
        <f t="shared" si="0"/>
        <v>0</v>
      </c>
    </row>
    <row r="15" spans="1:8" ht="14.45" customHeight="1" x14ac:dyDescent="0.25">
      <c r="A15" s="4"/>
      <c r="B15" s="10" t="s">
        <v>25</v>
      </c>
      <c r="C15" s="25">
        <f>'Данные по МКД-2'!C14</f>
        <v>0</v>
      </c>
      <c r="D15" s="25">
        <f>'Данные по МКД-2'!D14</f>
        <v>0</v>
      </c>
      <c r="E15" s="25">
        <f>'Данные по МКД-2'!E14</f>
        <v>0</v>
      </c>
      <c r="F15" s="25">
        <f>'Данные по МКД-2'!F14</f>
        <v>0</v>
      </c>
      <c r="G15" s="25">
        <f>'Данные по МКД-2'!G14</f>
        <v>0</v>
      </c>
      <c r="H15" s="25">
        <f t="shared" si="0"/>
        <v>0</v>
      </c>
    </row>
    <row r="16" spans="1:8" ht="14.45" customHeight="1" x14ac:dyDescent="0.25">
      <c r="A16" s="4"/>
      <c r="B16" s="10" t="s">
        <v>16</v>
      </c>
      <c r="C16" s="25">
        <f>'Данные по МКД-2'!C15</f>
        <v>66056.86</v>
      </c>
      <c r="D16" s="25">
        <f>'Данные по МКД-2'!D15</f>
        <v>40276.769999999997</v>
      </c>
      <c r="E16" s="25">
        <f>'Данные по МКД-2'!E15</f>
        <v>24966.84</v>
      </c>
      <c r="F16" s="25">
        <f>'Данные по МКД-2'!F15</f>
        <v>17298.75</v>
      </c>
      <c r="G16" s="25">
        <f>'Данные по МКД-2'!G15</f>
        <v>63972.44</v>
      </c>
      <c r="H16" s="25">
        <f t="shared" si="0"/>
        <v>212571.66</v>
      </c>
    </row>
    <row r="17" spans="1:8" ht="14.45" customHeight="1" x14ac:dyDescent="0.25">
      <c r="A17" s="4"/>
      <c r="B17" s="10" t="s">
        <v>15</v>
      </c>
      <c r="C17" s="25">
        <f>'Данные по МКД-2'!C16</f>
        <v>100345.84</v>
      </c>
      <c r="D17" s="25">
        <f>'Данные по МКД-2'!D16</f>
        <v>62834.87</v>
      </c>
      <c r="E17" s="25">
        <f>'Данные по МКД-2'!E16</f>
        <v>37538.18</v>
      </c>
      <c r="F17" s="25">
        <f>'Данные по МКД-2'!F16</f>
        <v>25102.84</v>
      </c>
      <c r="G17" s="25">
        <f>'Данные по МКД-2'!G16</f>
        <v>100121.13</v>
      </c>
      <c r="H17" s="25">
        <f t="shared" si="0"/>
        <v>325942.86</v>
      </c>
    </row>
    <row r="18" spans="1:8" ht="14.45" customHeight="1" x14ac:dyDescent="0.25">
      <c r="A18" s="4"/>
      <c r="B18" s="10" t="s">
        <v>24</v>
      </c>
      <c r="C18" s="25">
        <f>'Данные по МКД-2'!C17</f>
        <v>0</v>
      </c>
      <c r="D18" s="25">
        <f>'Данные по МКД-2'!D17</f>
        <v>0</v>
      </c>
      <c r="E18" s="25">
        <f>'Данные по МКД-2'!E17</f>
        <v>0</v>
      </c>
      <c r="F18" s="25">
        <f>'Данные по МКД-2'!F17</f>
        <v>0</v>
      </c>
      <c r="G18" s="25">
        <f>'Данные по МКД-2'!G17</f>
        <v>0</v>
      </c>
      <c r="H18" s="25">
        <f t="shared" si="0"/>
        <v>0</v>
      </c>
    </row>
    <row r="19" spans="1:8" ht="14.45" customHeight="1" x14ac:dyDescent="0.25">
      <c r="A19" s="4"/>
      <c r="B19" s="10" t="s">
        <v>23</v>
      </c>
      <c r="C19" s="25">
        <f>'Данные по МКД-2'!C18</f>
        <v>0</v>
      </c>
      <c r="D19" s="25">
        <f>'Данные по МКД-2'!D18</f>
        <v>0</v>
      </c>
      <c r="E19" s="25">
        <f>'Данные по МКД-2'!E18</f>
        <v>0</v>
      </c>
      <c r="F19" s="25">
        <f>'Данные по МКД-2'!F18</f>
        <v>0</v>
      </c>
      <c r="G19" s="25">
        <f>'Данные по МКД-2'!G18</f>
        <v>0</v>
      </c>
      <c r="H19" s="25">
        <f t="shared" si="0"/>
        <v>0</v>
      </c>
    </row>
    <row r="20" spans="1:8" ht="14.45" customHeight="1" x14ac:dyDescent="0.25">
      <c r="A20" s="4"/>
      <c r="B20" s="10" t="s">
        <v>22</v>
      </c>
      <c r="C20" s="25">
        <f>'Данные по МКД-2'!C19</f>
        <v>31572.09</v>
      </c>
      <c r="D20" s="25">
        <f>'Данные по МКД-2'!D19</f>
        <v>19250.23</v>
      </c>
      <c r="E20" s="25">
        <f>'Данные по МКД-2'!E19</f>
        <v>11932.95</v>
      </c>
      <c r="F20" s="25">
        <f>'Данные по МКД-2'!F19</f>
        <v>8267.89</v>
      </c>
      <c r="G20" s="25">
        <f>'Данные по МКД-2'!G19</f>
        <v>30575.55</v>
      </c>
      <c r="H20" s="25">
        <f t="shared" si="0"/>
        <v>101598.71</v>
      </c>
    </row>
    <row r="21" spans="1:8" ht="14.45" customHeight="1" x14ac:dyDescent="0.25">
      <c r="A21" s="4"/>
      <c r="B21" s="10" t="s">
        <v>19</v>
      </c>
      <c r="C21" s="25">
        <f>'Данные по МКД-2'!C20</f>
        <v>73827.78</v>
      </c>
      <c r="D21" s="25">
        <f>'Данные по МКД-2'!D20</f>
        <v>45015.03</v>
      </c>
      <c r="E21" s="25">
        <f>'Данные по МКД-2'!E20</f>
        <v>27904.2</v>
      </c>
      <c r="F21" s="25">
        <f>'Данные по МКД-2'!F20</f>
        <v>19333.96</v>
      </c>
      <c r="G21" s="25">
        <f>'Данные по МКД-2'!G20</f>
        <v>71498.19</v>
      </c>
      <c r="H21" s="25">
        <f t="shared" si="0"/>
        <v>237579.16</v>
      </c>
    </row>
    <row r="22" spans="1:8" ht="14.45" customHeight="1" x14ac:dyDescent="0.25">
      <c r="A22" s="4"/>
      <c r="B22" s="30" t="s">
        <v>77</v>
      </c>
      <c r="C22" s="25">
        <f>'Данные по МКД-2'!C21</f>
        <v>283655.98</v>
      </c>
      <c r="D22" s="25">
        <f>'Данные по МКД-2'!D21</f>
        <v>172952.72</v>
      </c>
      <c r="E22" s="25">
        <f>'Данные по МКД-2'!E21</f>
        <v>107210.79</v>
      </c>
      <c r="F22" s="25">
        <f>'Данные по МКД-2'!F21</f>
        <v>74282.960000000006</v>
      </c>
      <c r="G22" s="25">
        <f>'Данные по МКД-2'!G21</f>
        <v>274704.5</v>
      </c>
      <c r="H22" s="25">
        <f t="shared" si="0"/>
        <v>912806.95</v>
      </c>
    </row>
    <row r="23" spans="1:8" ht="14.45" customHeight="1" x14ac:dyDescent="0.25">
      <c r="A23" s="4"/>
      <c r="B23" s="30" t="s">
        <v>78</v>
      </c>
      <c r="C23" s="25">
        <f>'Данные по МКД-2'!C22</f>
        <v>30113.73</v>
      </c>
      <c r="D23" s="25">
        <f>'Данные по МКД-2'!D22</f>
        <v>18361.09</v>
      </c>
      <c r="E23" s="25">
        <f>'Данные по МКД-2'!E22</f>
        <v>11381.75</v>
      </c>
      <c r="F23" s="25">
        <f>'Данные по МКД-2'!F22</f>
        <v>7886.22</v>
      </c>
      <c r="G23" s="25">
        <f>'Данные по МКД-2'!G22</f>
        <v>29164</v>
      </c>
      <c r="H23" s="25">
        <f t="shared" si="0"/>
        <v>96906.79</v>
      </c>
    </row>
    <row r="24" spans="1:8" ht="14.45" customHeight="1" x14ac:dyDescent="0.25">
      <c r="A24" s="4"/>
      <c r="B24" s="30" t="s">
        <v>79</v>
      </c>
      <c r="C24" s="25">
        <f>'Данные по МКД-2'!C23</f>
        <v>94913</v>
      </c>
      <c r="D24" s="25">
        <f>'Данные по МКД-2'!D23</f>
        <v>64815</v>
      </c>
      <c r="E24" s="25">
        <f>'Данные по МКД-2'!E23</f>
        <v>33078</v>
      </c>
      <c r="F24" s="25">
        <f>'Данные по МКД-2'!F23</f>
        <v>20711</v>
      </c>
      <c r="G24" s="25">
        <f>'Данные по МКД-2'!G23</f>
        <v>102363</v>
      </c>
      <c r="H24" s="25">
        <f t="shared" si="0"/>
        <v>315880</v>
      </c>
    </row>
    <row r="25" spans="1:8" ht="14.45" customHeight="1" x14ac:dyDescent="0.25">
      <c r="A25" s="4"/>
      <c r="B25" s="30" t="s">
        <v>80</v>
      </c>
      <c r="C25" s="25">
        <f>'Данные по МКД-2'!C24</f>
        <v>43717.05</v>
      </c>
      <c r="D25" s="25">
        <f>'Данные по МКД-2'!D24</f>
        <v>25316.55</v>
      </c>
      <c r="E25" s="25">
        <f>'Данные по МКД-2'!E24</f>
        <v>15037.65</v>
      </c>
      <c r="F25" s="25">
        <f>'Данные по МКД-2'!F24</f>
        <v>11801.7</v>
      </c>
      <c r="G25" s="25">
        <f>'Данные по МКД-2'!G24</f>
        <v>44541.9</v>
      </c>
      <c r="H25" s="25">
        <f t="shared" si="0"/>
        <v>140414.85</v>
      </c>
    </row>
    <row r="26" spans="1:8" ht="14.45" customHeight="1" x14ac:dyDescent="0.25">
      <c r="A26" s="4"/>
      <c r="B26" s="30" t="s">
        <v>81</v>
      </c>
      <c r="C26" s="25">
        <f>'Данные по МКД-2'!C25</f>
        <v>24330</v>
      </c>
      <c r="D26" s="25">
        <f>'Данные по МКД-2'!D25</f>
        <v>14070</v>
      </c>
      <c r="E26" s="25">
        <f>'Данные по МКД-2'!E25</f>
        <v>8685</v>
      </c>
      <c r="F26" s="25">
        <f>'Данные по МКД-2'!F25</f>
        <v>5850</v>
      </c>
      <c r="G26" s="25">
        <f>'Данные по МКД-2'!G25</f>
        <v>25305</v>
      </c>
      <c r="H26" s="25">
        <f t="shared" si="0"/>
        <v>78240</v>
      </c>
    </row>
    <row r="27" spans="1:8" ht="14.45" customHeight="1" x14ac:dyDescent="0.25">
      <c r="A27" s="4"/>
      <c r="B27" s="30" t="s">
        <v>82</v>
      </c>
      <c r="C27" s="25">
        <f>'Данные по МКД-2'!C26</f>
        <v>20500</v>
      </c>
      <c r="D27" s="25">
        <f>'Данные по МКД-2'!D26</f>
        <v>11800.02</v>
      </c>
      <c r="E27" s="25">
        <f>'Данные по МКД-2'!E26</f>
        <v>7312.47</v>
      </c>
      <c r="F27" s="25">
        <f>'Данные по МКД-2'!F26</f>
        <v>5025</v>
      </c>
      <c r="G27" s="25">
        <f>'Данные по МКД-2'!G26</f>
        <v>21537.48</v>
      </c>
      <c r="H27" s="25">
        <f t="shared" si="0"/>
        <v>66174.97</v>
      </c>
    </row>
    <row r="28" spans="1:8" ht="14.45" customHeight="1" x14ac:dyDescent="0.25">
      <c r="A28" s="4">
        <v>5</v>
      </c>
      <c r="B28" s="20" t="s">
        <v>4</v>
      </c>
      <c r="C28" s="25"/>
      <c r="D28" s="25"/>
      <c r="E28" s="25"/>
      <c r="F28" s="25"/>
      <c r="G28" s="25"/>
      <c r="H28" s="25">
        <f t="shared" si="0"/>
        <v>0</v>
      </c>
    </row>
    <row r="29" spans="1:8" ht="14.45" customHeight="1" x14ac:dyDescent="0.25">
      <c r="A29" s="4"/>
      <c r="B29" s="19" t="s">
        <v>5</v>
      </c>
      <c r="C29" s="25">
        <f>867186.42+68506.31+31554.09+17560.91+14796.49</f>
        <v>999604.22</v>
      </c>
      <c r="D29" s="25">
        <v>586107.30000000005</v>
      </c>
      <c r="E29" s="25">
        <v>390597.43</v>
      </c>
      <c r="F29" s="25">
        <f>240965.95+15921.26+9072.37+4497.1+3862.89</f>
        <v>274319.57</v>
      </c>
      <c r="G29" s="25">
        <v>983723.2</v>
      </c>
      <c r="H29" s="25">
        <f t="shared" si="0"/>
        <v>3234351.7199999997</v>
      </c>
    </row>
    <row r="30" spans="1:8" ht="14.45" customHeight="1" x14ac:dyDescent="0.25">
      <c r="A30" s="4"/>
      <c r="B30" s="19" t="s">
        <v>6</v>
      </c>
      <c r="C30" s="25"/>
      <c r="D30" s="25">
        <v>0</v>
      </c>
      <c r="E30" s="25"/>
      <c r="F30" s="25"/>
      <c r="G30" s="25"/>
      <c r="H30" s="25">
        <f t="shared" si="0"/>
        <v>0</v>
      </c>
    </row>
    <row r="31" spans="1:8" ht="14.45" customHeight="1" x14ac:dyDescent="0.25">
      <c r="A31" s="4"/>
      <c r="B31" s="19" t="s">
        <v>7</v>
      </c>
      <c r="C31" s="25"/>
      <c r="D31" s="25">
        <v>0</v>
      </c>
      <c r="E31" s="25"/>
      <c r="F31" s="25"/>
      <c r="G31" s="25"/>
      <c r="H31" s="25">
        <f t="shared" si="0"/>
        <v>0</v>
      </c>
    </row>
    <row r="32" spans="1:8" ht="14.45" customHeight="1" x14ac:dyDescent="0.25">
      <c r="A32" s="4"/>
      <c r="B32" s="19" t="s">
        <v>8</v>
      </c>
      <c r="C32" s="25"/>
      <c r="D32" s="25">
        <v>0</v>
      </c>
      <c r="E32" s="25"/>
      <c r="F32" s="25"/>
      <c r="G32" s="25"/>
      <c r="H32" s="25">
        <f t="shared" si="0"/>
        <v>0</v>
      </c>
    </row>
    <row r="33" spans="1:8" ht="14.45" customHeight="1" x14ac:dyDescent="0.25">
      <c r="A33" s="4"/>
      <c r="B33" s="19" t="s">
        <v>9</v>
      </c>
      <c r="C33" s="25"/>
      <c r="D33" s="25">
        <v>0</v>
      </c>
      <c r="E33" s="25"/>
      <c r="F33" s="25"/>
      <c r="G33" s="25"/>
      <c r="H33" s="25">
        <f t="shared" si="0"/>
        <v>0</v>
      </c>
    </row>
    <row r="34" spans="1:8" ht="14.45" customHeight="1" x14ac:dyDescent="0.25">
      <c r="A34" s="4">
        <v>6</v>
      </c>
      <c r="B34" s="19" t="s">
        <v>10</v>
      </c>
      <c r="C34" s="25">
        <f>C29</f>
        <v>999604.22</v>
      </c>
      <c r="D34" s="25">
        <f>D29</f>
        <v>586107.30000000005</v>
      </c>
      <c r="E34" s="25">
        <f>E29</f>
        <v>390597.43</v>
      </c>
      <c r="F34" s="25">
        <f>F29</f>
        <v>274319.57</v>
      </c>
      <c r="G34" s="25">
        <f>G29</f>
        <v>983723.2</v>
      </c>
      <c r="H34" s="25">
        <f t="shared" si="0"/>
        <v>3234351.7199999997</v>
      </c>
    </row>
    <row r="35" spans="1:8" ht="14.45" customHeight="1" x14ac:dyDescent="0.25">
      <c r="A35" s="4">
        <v>7</v>
      </c>
      <c r="B35" s="19" t="s">
        <v>11</v>
      </c>
      <c r="C35" s="25">
        <f>2016.32+159.29+73.37+40.83+34.4</f>
        <v>2324.21</v>
      </c>
      <c r="D35" s="25">
        <v>10247.91</v>
      </c>
      <c r="E35" s="25">
        <v>1954.62</v>
      </c>
      <c r="F35" s="25">
        <f>2455.25+162.22+92.44+45.82+39.36</f>
        <v>2795.09</v>
      </c>
      <c r="G35" s="25">
        <f>9065.56+795.54+346.17+196.66+167.38</f>
        <v>10571.309999999998</v>
      </c>
      <c r="H35" s="25">
        <f t="shared" si="0"/>
        <v>27893.139999999996</v>
      </c>
    </row>
    <row r="36" spans="1:8" ht="14.45" customHeight="1" x14ac:dyDescent="0.25">
      <c r="A36" s="4">
        <v>8</v>
      </c>
      <c r="B36" s="19" t="s">
        <v>12</v>
      </c>
      <c r="C36" s="25"/>
      <c r="D36" s="25"/>
      <c r="E36" s="25"/>
      <c r="F36" s="25"/>
      <c r="G36" s="25"/>
      <c r="H36" s="25">
        <f t="shared" si="0"/>
        <v>0</v>
      </c>
    </row>
    <row r="37" spans="1:8" ht="14.45" customHeight="1" x14ac:dyDescent="0.25">
      <c r="A37" s="11">
        <v>9</v>
      </c>
      <c r="B37" s="19" t="s">
        <v>13</v>
      </c>
      <c r="C37" s="25">
        <f>336285.2+26565.98+12236.32+6809.92+5737.91</f>
        <v>387635.32999999996</v>
      </c>
      <c r="D37" s="25">
        <v>274355.25</v>
      </c>
      <c r="E37" s="25">
        <v>129184.52</v>
      </c>
      <c r="F37" s="25">
        <f>74947.34+4951.97+2821.77+1398.73+1201.47</f>
        <v>85321.279999999999</v>
      </c>
      <c r="G37" s="25">
        <f>331942.91+29129.2+12675.18+7200.98+6128.87</f>
        <v>387077.13999999996</v>
      </c>
      <c r="H37" s="25">
        <f t="shared" si="0"/>
        <v>1263573.52</v>
      </c>
    </row>
    <row r="39" spans="1:8" x14ac:dyDescent="0.25">
      <c r="D39" s="26"/>
    </row>
    <row r="40" spans="1:8" x14ac:dyDescent="0.25">
      <c r="C40" s="70">
        <f>'Данные по МКД-6'!F27-'Данные по МКД-1'!C29</f>
        <v>385311.12999999989</v>
      </c>
      <c r="D40" s="70">
        <f>'Данные по МКД-6'!G27-'Данные по МКД-1'!D29</f>
        <v>264107.03000000003</v>
      </c>
      <c r="E40" s="70">
        <f>'Данные по МКД-6'!H27-'Данные по МКД-1'!E29</f>
        <v>127229.91000000003</v>
      </c>
      <c r="F40" s="70">
        <f>'Данные по МКД-6'!I27-'Данные по МКД-1'!F29</f>
        <v>82526.169999999925</v>
      </c>
      <c r="G40" s="70">
        <f>'Данные по МКД-6'!J27-'Данные по МКД-1'!G29</f>
        <v>376505.84000000008</v>
      </c>
    </row>
    <row r="41" spans="1:8" x14ac:dyDescent="0.25">
      <c r="C41" s="70">
        <f t="shared" ref="C41:D41" si="1">C37-C35-C40</f>
        <v>-9.9999999511055648E-3</v>
      </c>
      <c r="D41" s="70">
        <f t="shared" si="1"/>
        <v>0.30999999999767169</v>
      </c>
      <c r="E41" s="70">
        <f>E37-E35-E40</f>
        <v>-1.0000000023865141E-2</v>
      </c>
      <c r="F41" s="70">
        <f t="shared" ref="F41:G41" si="2">F37-F35-F40</f>
        <v>2.0000000076834112E-2</v>
      </c>
      <c r="G41" s="70">
        <f t="shared" si="2"/>
        <v>-1.0000000125728548E-2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B21" sqref="B21"/>
    </sheetView>
  </sheetViews>
  <sheetFormatPr defaultRowHeight="15" x14ac:dyDescent="0.25"/>
  <cols>
    <col min="1" max="1" width="4.5703125" customWidth="1"/>
    <col min="2" max="2" width="82.140625" customWidth="1"/>
    <col min="3" max="3" width="13.140625" customWidth="1"/>
    <col min="4" max="4" width="12.85546875" customWidth="1"/>
    <col min="5" max="5" width="15" customWidth="1"/>
    <col min="6" max="6" width="14.7109375" customWidth="1"/>
    <col min="7" max="7" width="12.7109375" customWidth="1"/>
    <col min="8" max="8" width="12.42578125" customWidth="1"/>
  </cols>
  <sheetData>
    <row r="1" spans="1:8" x14ac:dyDescent="0.25">
      <c r="B1" s="2" t="s">
        <v>62</v>
      </c>
    </row>
    <row r="2" spans="1:8" x14ac:dyDescent="0.25">
      <c r="B2" s="18"/>
      <c r="C2" s="5" t="s">
        <v>74</v>
      </c>
      <c r="D2" s="5" t="s">
        <v>74</v>
      </c>
      <c r="E2" s="12" t="s">
        <v>74</v>
      </c>
      <c r="F2" s="14" t="s">
        <v>72</v>
      </c>
      <c r="G2" s="5" t="s">
        <v>72</v>
      </c>
      <c r="H2" s="5" t="s">
        <v>63</v>
      </c>
    </row>
    <row r="3" spans="1:8" x14ac:dyDescent="0.25">
      <c r="B3" s="18"/>
      <c r="C3" s="5" t="s">
        <v>69</v>
      </c>
      <c r="D3" s="5" t="s">
        <v>70</v>
      </c>
      <c r="E3" s="12" t="s">
        <v>71</v>
      </c>
      <c r="F3" s="5" t="s">
        <v>73</v>
      </c>
      <c r="G3" s="5" t="s">
        <v>75</v>
      </c>
      <c r="H3" s="4"/>
    </row>
    <row r="4" spans="1:8" x14ac:dyDescent="0.25">
      <c r="B4" s="1" t="s">
        <v>33</v>
      </c>
      <c r="C4" s="4"/>
      <c r="D4" s="4"/>
      <c r="E4" s="4"/>
      <c r="F4" s="4"/>
      <c r="G4" s="4"/>
      <c r="H4" s="4"/>
    </row>
    <row r="5" spans="1:8" ht="20.100000000000001" customHeight="1" x14ac:dyDescent="0.25">
      <c r="A5" s="4">
        <v>1</v>
      </c>
      <c r="B5" s="22" t="s">
        <v>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f>SUM(C5:G5)</f>
        <v>0</v>
      </c>
    </row>
    <row r="6" spans="1:8" x14ac:dyDescent="0.25">
      <c r="A6" s="4">
        <v>2</v>
      </c>
      <c r="B6" s="22" t="s">
        <v>1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f t="shared" ref="H6:H15" si="0">SUM(C6:G6)</f>
        <v>0</v>
      </c>
    </row>
    <row r="7" spans="1:8" x14ac:dyDescent="0.25">
      <c r="A7" s="4">
        <v>3</v>
      </c>
      <c r="B7" s="22" t="s">
        <v>2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f t="shared" si="0"/>
        <v>0</v>
      </c>
    </row>
    <row r="8" spans="1:8" x14ac:dyDescent="0.25">
      <c r="A8" s="4">
        <v>4</v>
      </c>
      <c r="B8" s="22" t="s">
        <v>11</v>
      </c>
      <c r="C8" s="25">
        <f>3491.52+112.56</f>
        <v>3604.08</v>
      </c>
      <c r="D8" s="25">
        <v>15128.22</v>
      </c>
      <c r="E8" s="25">
        <v>2810.52</v>
      </c>
      <c r="F8" s="25">
        <f>4210.02+132.06</f>
        <v>4342.0800000000008</v>
      </c>
      <c r="G8" s="25">
        <f>15511.66+524.28</f>
        <v>16035.94</v>
      </c>
      <c r="H8" s="25">
        <f t="shared" si="0"/>
        <v>41920.840000000004</v>
      </c>
    </row>
    <row r="9" spans="1:8" x14ac:dyDescent="0.25">
      <c r="A9" s="4">
        <v>5</v>
      </c>
      <c r="B9" s="22" t="s">
        <v>12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f t="shared" si="0"/>
        <v>0</v>
      </c>
    </row>
    <row r="10" spans="1:8" x14ac:dyDescent="0.25">
      <c r="A10" s="4">
        <v>6</v>
      </c>
      <c r="B10" s="22" t="s">
        <v>13</v>
      </c>
      <c r="C10" s="25">
        <f>582320.97+18773.26</f>
        <v>601094.23</v>
      </c>
      <c r="D10" s="25">
        <v>405010.59</v>
      </c>
      <c r="E10" s="25">
        <v>185752.6</v>
      </c>
      <c r="F10" s="25">
        <f>128512.33+4031.18</f>
        <v>132543.51</v>
      </c>
      <c r="G10" s="25">
        <f>567972.1+19196.78</f>
        <v>587168.88</v>
      </c>
      <c r="H10" s="25">
        <f t="shared" si="0"/>
        <v>1911569.81</v>
      </c>
    </row>
    <row r="11" spans="1:8" x14ac:dyDescent="0.25">
      <c r="A11" s="4"/>
      <c r="B11" s="22"/>
      <c r="C11" s="25"/>
      <c r="D11" s="25"/>
      <c r="E11" s="25"/>
      <c r="F11" s="25"/>
      <c r="G11" s="25"/>
      <c r="H11" s="25">
        <f t="shared" si="0"/>
        <v>0</v>
      </c>
    </row>
    <row r="12" spans="1:8" x14ac:dyDescent="0.25">
      <c r="A12" s="4">
        <v>7</v>
      </c>
      <c r="B12" s="22" t="s">
        <v>29</v>
      </c>
      <c r="C12" s="25"/>
      <c r="D12" s="25"/>
      <c r="E12" s="25"/>
      <c r="F12" s="25"/>
      <c r="G12" s="25"/>
      <c r="H12" s="25">
        <f t="shared" si="0"/>
        <v>0</v>
      </c>
    </row>
    <row r="13" spans="1:8" x14ac:dyDescent="0.25">
      <c r="A13" s="4">
        <v>8</v>
      </c>
      <c r="B13" s="22" t="s">
        <v>30</v>
      </c>
      <c r="C13" s="25"/>
      <c r="D13" s="25"/>
      <c r="E13" s="25"/>
      <c r="F13" s="25"/>
      <c r="G13" s="25"/>
      <c r="H13" s="25">
        <f t="shared" si="0"/>
        <v>0</v>
      </c>
    </row>
    <row r="14" spans="1:8" x14ac:dyDescent="0.25">
      <c r="A14" s="4">
        <v>9</v>
      </c>
      <c r="B14" s="22" t="s">
        <v>31</v>
      </c>
      <c r="C14" s="25"/>
      <c r="D14" s="25"/>
      <c r="E14" s="25"/>
      <c r="F14" s="25"/>
      <c r="G14" s="25"/>
      <c r="H14" s="25">
        <f t="shared" si="0"/>
        <v>0</v>
      </c>
    </row>
    <row r="15" spans="1:8" x14ac:dyDescent="0.25">
      <c r="A15" s="4">
        <v>10</v>
      </c>
      <c r="B15" s="22" t="s">
        <v>32</v>
      </c>
      <c r="C15" s="25"/>
      <c r="D15" s="25"/>
      <c r="E15" s="25"/>
      <c r="F15" s="25"/>
      <c r="G15" s="25"/>
      <c r="H15" s="25">
        <f t="shared" si="0"/>
        <v>0</v>
      </c>
    </row>
    <row r="17" spans="3:7" x14ac:dyDescent="0.25">
      <c r="C17" s="70">
        <f>'Данные по МКД-4'!B82+'Данные по МКД-4'!B65+'Данные по МКД-4'!B48+'Данные по МКД-4'!B31+'Данные по МКД-4'!B14</f>
        <v>597490.15</v>
      </c>
      <c r="D17" s="70">
        <f>'Данные по МКД-4'!C82+'Данные по МКД-4'!C65+'Данные по МКД-4'!C48+'Данные по МКД-4'!C31+'Данные по МКД-4'!C14</f>
        <v>389882.35999999993</v>
      </c>
      <c r="E17" s="70">
        <f>'Данные по МКД-4'!D82+'Данные по МКД-4'!D65+'Данные по МКД-4'!D48+'Данные по МКД-4'!D31+'Данные по МКД-4'!D14</f>
        <v>182942.1</v>
      </c>
      <c r="F17" s="70">
        <f>'Данные по МКД-4'!E82+'Данные по МКД-4'!E65+'Данные по МКД-4'!E48+'Данные по МКД-4'!E31+'Данные по МКД-4'!E14</f>
        <v>128201.42</v>
      </c>
      <c r="G17" s="70">
        <f>'Данные по МКД-4'!F82+'Данные по МКД-4'!F65+'Данные по МКД-4'!F48+'Данные по МКД-4'!F31+'Данные по МКД-4'!F14</f>
        <v>571132.93000000005</v>
      </c>
    </row>
    <row r="18" spans="3:7" x14ac:dyDescent="0.25">
      <c r="C18" s="70">
        <f t="shared" ref="C18:D18" si="1">C10-C8-C17</f>
        <v>0</v>
      </c>
      <c r="D18" s="70">
        <f t="shared" si="1"/>
        <v>1.0000000125728548E-2</v>
      </c>
      <c r="E18" s="70">
        <f>E10-E8-E17</f>
        <v>-1.9999999989522621E-2</v>
      </c>
      <c r="F18" s="70">
        <f t="shared" ref="F18:G18" si="2">F10-F8-F17</f>
        <v>1.0000000009313226E-2</v>
      </c>
      <c r="G18" s="70">
        <f t="shared" si="2"/>
        <v>1.0000000009313226E-2</v>
      </c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7"/>
  <sheetViews>
    <sheetView workbookViewId="0">
      <selection activeCell="F14" sqref="F14"/>
    </sheetView>
  </sheetViews>
  <sheetFormatPr defaultRowHeight="15" x14ac:dyDescent="0.25"/>
  <cols>
    <col min="1" max="1" width="79.28515625" customWidth="1"/>
    <col min="2" max="2" width="12" customWidth="1"/>
    <col min="3" max="3" width="12.5703125" customWidth="1"/>
    <col min="4" max="4" width="12.85546875" customWidth="1"/>
    <col min="5" max="5" width="11.28515625" customWidth="1"/>
    <col min="6" max="6" width="12" customWidth="1"/>
    <col min="7" max="7" width="14.5703125" customWidth="1"/>
  </cols>
  <sheetData>
    <row r="1" spans="1:7" x14ac:dyDescent="0.25">
      <c r="A1" s="2" t="s">
        <v>62</v>
      </c>
    </row>
    <row r="2" spans="1:7" x14ac:dyDescent="0.25">
      <c r="A2" s="21"/>
      <c r="B2" s="5" t="s">
        <v>74</v>
      </c>
      <c r="C2" s="5" t="s">
        <v>74</v>
      </c>
      <c r="D2" s="12" t="s">
        <v>74</v>
      </c>
      <c r="E2" s="14" t="s">
        <v>72</v>
      </c>
      <c r="F2" s="5" t="s">
        <v>72</v>
      </c>
      <c r="G2" s="5" t="s">
        <v>63</v>
      </c>
    </row>
    <row r="3" spans="1:7" x14ac:dyDescent="0.25">
      <c r="A3" s="21"/>
      <c r="B3" s="5" t="s">
        <v>69</v>
      </c>
      <c r="C3" s="5" t="s">
        <v>70</v>
      </c>
      <c r="D3" s="12" t="s">
        <v>71</v>
      </c>
      <c r="E3" s="5" t="s">
        <v>73</v>
      </c>
      <c r="F3" s="5" t="s">
        <v>75</v>
      </c>
      <c r="G3" s="4"/>
    </row>
    <row r="4" spans="1:7" x14ac:dyDescent="0.25">
      <c r="A4" s="1" t="s">
        <v>49</v>
      </c>
      <c r="B4" s="4"/>
      <c r="C4" s="4"/>
      <c r="D4" s="4"/>
      <c r="E4" s="4"/>
      <c r="F4" s="4"/>
      <c r="G4" s="4"/>
    </row>
    <row r="5" spans="1:7" ht="20.100000000000001" customHeight="1" x14ac:dyDescent="0.25">
      <c r="A5" s="22" t="s">
        <v>46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</row>
    <row r="6" spans="1:7" ht="20.100000000000001" customHeight="1" x14ac:dyDescent="0.25">
      <c r="A6" s="22" t="s">
        <v>47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</row>
    <row r="7" spans="1:7" ht="20.100000000000001" customHeight="1" x14ac:dyDescent="0.25">
      <c r="A7" s="22" t="s">
        <v>48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Данные по УК</vt:lpstr>
      <vt:lpstr>Данные по МКД-4</vt:lpstr>
      <vt:lpstr>Данные по МКД-6</vt:lpstr>
      <vt:lpstr>Данные по МКД-2</vt:lpstr>
      <vt:lpstr>Данные по МКД-1</vt:lpstr>
      <vt:lpstr>Данные по МКД-3</vt:lpstr>
      <vt:lpstr>Данные по МКД-5</vt:lpstr>
      <vt:lpstr>'Данные по МКД-1'!Область_печати</vt:lpstr>
    </vt:vector>
  </TitlesOfParts>
  <Company>---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2017-03-22T12:45:47Z</cp:lastPrinted>
  <dcterms:created xsi:type="dcterms:W3CDTF">2016-03-23T13:09:41Z</dcterms:created>
  <dcterms:modified xsi:type="dcterms:W3CDTF">2017-04-03T12:33:51Z</dcterms:modified>
</cp:coreProperties>
</file>